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330" tabRatio="822" activeTab="1"/>
  </bookViews>
  <sheets>
    <sheet name="SUMMARY" sheetId="13" r:id="rId1"/>
    <sheet name="ESTIMATE" sheetId="12" r:id="rId2"/>
    <sheet name="LUMBER" sheetId="16" r:id="rId3"/>
  </sheets>
  <definedNames>
    <definedName name="_xlnm._FilterDatabase" localSheetId="1" hidden="1">ESTIMATE!$A$1:$L$280</definedName>
    <definedName name="_xlnm._FilterDatabase" localSheetId="2" hidden="1">LUMBER!$A$1:$I$49</definedName>
    <definedName name="BRICK" localSheetId="2">#REF!</definedName>
    <definedName name="BRICK">#REF!</definedName>
    <definedName name="CARP" localSheetId="2">#REF!</definedName>
    <definedName name="CARP">#REF!</definedName>
    <definedName name="CARPET" localSheetId="2">#REF!</definedName>
    <definedName name="CARPET">#REF!</definedName>
    <definedName name="ELECT" localSheetId="2">#REF!</definedName>
    <definedName name="ELECT">#REF!</definedName>
    <definedName name="FINISH" localSheetId="2">#REF!</definedName>
    <definedName name="FINISH">#REF!</definedName>
    <definedName name="GLAZER" localSheetId="2">#REF!</definedName>
    <definedName name="GLAZER">#REF!</definedName>
    <definedName name="IRON" localSheetId="2">#REF!</definedName>
    <definedName name="IRON">#REF!</definedName>
    <definedName name="LABOR" localSheetId="2">#REF!</definedName>
    <definedName name="LABOR">#REF!</definedName>
    <definedName name="OPER" localSheetId="2">#REF!</definedName>
    <definedName name="OPER">#REF!</definedName>
    <definedName name="PAINT" localSheetId="2">#REF!</definedName>
    <definedName name="PAINT">#REF!</definedName>
    <definedName name="PAR" localSheetId="2">#REF!</definedName>
    <definedName name="PAR">#REF!</definedName>
    <definedName name="PLUMB" localSheetId="2">#REF!</definedName>
    <definedName name="PLUMB">#REF!</definedName>
    <definedName name="_xlnm.Print_Area" localSheetId="1">ESTIMATE!$A$1:$L$280</definedName>
    <definedName name="_xlnm.Print_Area" localSheetId="2">LUMBER!$A$1:$I$49</definedName>
    <definedName name="_xlnm.Print_Area" localSheetId="0">SUMMARY!$A$1:$F$35</definedName>
    <definedName name="Print_Area_MI" localSheetId="2">#REF!</definedName>
    <definedName name="Print_Area_MI">#REF!</definedName>
    <definedName name="_xlnm.Print_Titles" localSheetId="1">ESTIMATE!$1:$6</definedName>
    <definedName name="_xlnm.Print_Titles" localSheetId="2">LUMBER!$1:$5</definedName>
    <definedName name="ROOF" localSheetId="2">#REF!</definedName>
    <definedName name="ROOF">#REF!</definedName>
    <definedName name="SM" localSheetId="2">#REF!</definedName>
    <definedName name="SM">#REF!</definedName>
    <definedName name="SPRINKLER" localSheetId="2">#REF!</definedName>
    <definedName name="SPRINKLER">#REF!</definedName>
  </definedNames>
  <calcPr calcId="152511"/>
</workbook>
</file>

<file path=xl/calcChain.xml><?xml version="1.0" encoding="utf-8"?>
<calcChain xmlns="http://schemas.openxmlformats.org/spreadsheetml/2006/main">
  <c r="A24" i="12" l="1"/>
  <c r="A25" i="12"/>
  <c r="A26" i="12"/>
  <c r="A27" i="12"/>
  <c r="A30" i="12"/>
  <c r="A31" i="12"/>
  <c r="A32" i="12"/>
  <c r="A33" i="12"/>
  <c r="A34" i="12"/>
  <c r="A35" i="12"/>
  <c r="A41" i="12"/>
  <c r="A42" i="12"/>
  <c r="A48" i="12"/>
  <c r="A50" i="12"/>
  <c r="A51" i="12"/>
  <c r="A57" i="12"/>
  <c r="A58" i="12"/>
  <c r="A64" i="12"/>
  <c r="A66" i="12"/>
  <c r="A67" i="12"/>
  <c r="A73" i="12"/>
  <c r="A74" i="12"/>
  <c r="A80" i="12"/>
  <c r="A82" i="12"/>
  <c r="A83" i="12"/>
  <c r="A89" i="12"/>
  <c r="A90" i="12"/>
  <c r="A96" i="12"/>
  <c r="A98" i="12"/>
  <c r="A99" i="12"/>
  <c r="A100" i="12"/>
  <c r="A101" i="12"/>
  <c r="A107" i="12"/>
  <c r="A108" i="12"/>
  <c r="A109" i="12"/>
  <c r="A110" i="12"/>
  <c r="A111" i="12"/>
  <c r="A113" i="12"/>
  <c r="A114" i="12"/>
  <c r="A115" i="12"/>
  <c r="A116" i="12"/>
  <c r="A118" i="12"/>
  <c r="A119" i="12"/>
  <c r="A120" i="12"/>
  <c r="A121" i="12"/>
  <c r="A122" i="12"/>
  <c r="A123" i="12"/>
  <c r="A128" i="12"/>
  <c r="A129" i="12"/>
  <c r="A130" i="12"/>
  <c r="A131" i="12"/>
  <c r="A132" i="12"/>
  <c r="A133" i="12"/>
  <c r="A134" i="12"/>
  <c r="A136" i="12"/>
  <c r="A137" i="12"/>
  <c r="A138" i="12"/>
  <c r="A139" i="12"/>
  <c r="A141" i="12"/>
  <c r="A142" i="12"/>
  <c r="A143" i="12"/>
  <c r="A144" i="12"/>
  <c r="A146" i="12"/>
  <c r="A147" i="12"/>
  <c r="A148" i="12"/>
  <c r="A150" i="12"/>
  <c r="A151" i="12"/>
  <c r="A152" i="12"/>
  <c r="A153" i="12"/>
  <c r="A155" i="12"/>
  <c r="A157" i="12"/>
  <c r="A158" i="12"/>
  <c r="A159" i="12"/>
  <c r="A160" i="12"/>
  <c r="A162" i="12"/>
  <c r="A163" i="12"/>
  <c r="A164" i="12"/>
  <c r="A165" i="12"/>
  <c r="A167" i="12"/>
  <c r="A168" i="12"/>
  <c r="A169" i="12"/>
  <c r="A170" i="12"/>
  <c r="A172" i="12"/>
  <c r="A173" i="12"/>
  <c r="A174" i="12"/>
  <c r="A175" i="12"/>
  <c r="A178" i="12"/>
  <c r="A179" i="12"/>
  <c r="A180" i="12"/>
  <c r="A181" i="12"/>
  <c r="A183" i="12"/>
  <c r="A184" i="12"/>
  <c r="A185" i="12"/>
  <c r="A186" i="12"/>
  <c r="A188" i="12"/>
  <c r="A189" i="12"/>
  <c r="A190" i="12"/>
  <c r="A191" i="12"/>
  <c r="A193" i="12"/>
  <c r="A194" i="12"/>
  <c r="A195" i="12"/>
  <c r="A196" i="12"/>
  <c r="A200" i="12"/>
  <c r="A201" i="12"/>
  <c r="A202" i="12"/>
  <c r="A203" i="12"/>
  <c r="A204" i="12"/>
  <c r="A206" i="12"/>
  <c r="A208" i="12"/>
  <c r="A211" i="12"/>
  <c r="A212" i="12"/>
  <c r="A213" i="12"/>
  <c r="A214" i="12"/>
  <c r="A215" i="12"/>
  <c r="A222" i="12"/>
  <c r="A223" i="12"/>
  <c r="A224" i="12"/>
  <c r="A225" i="12"/>
  <c r="A226" i="12"/>
  <c r="A227" i="12"/>
  <c r="A229" i="12"/>
  <c r="A230" i="12"/>
  <c r="A236" i="12"/>
  <c r="A237" i="12"/>
  <c r="A240" i="12"/>
  <c r="A241" i="12"/>
  <c r="A242" i="12"/>
  <c r="A243" i="12"/>
  <c r="A245" i="12"/>
  <c r="A246" i="12"/>
  <c r="A247" i="12"/>
  <c r="A248" i="12"/>
  <c r="A249" i="12"/>
  <c r="A256" i="12"/>
  <c r="A257" i="12"/>
  <c r="A259" i="12"/>
  <c r="A260" i="12"/>
  <c r="A261" i="12"/>
  <c r="A262" i="12"/>
  <c r="A263" i="12"/>
  <c r="A265" i="12"/>
  <c r="A266" i="12"/>
  <c r="A267" i="12"/>
  <c r="A268" i="12"/>
  <c r="A269" i="12"/>
  <c r="A271" i="12"/>
  <c r="A272" i="12"/>
  <c r="A273" i="12" l="1"/>
  <c r="J29" i="12"/>
  <c r="J95" i="12"/>
  <c r="J94" i="12"/>
  <c r="J93" i="12"/>
  <c r="J92" i="12"/>
  <c r="J88" i="12"/>
  <c r="J87" i="12"/>
  <c r="J86" i="12"/>
  <c r="J85" i="12"/>
  <c r="J79" i="12"/>
  <c r="J78" i="12"/>
  <c r="J77" i="12"/>
  <c r="J76" i="12"/>
  <c r="J72" i="12"/>
  <c r="J71" i="12"/>
  <c r="J70" i="12"/>
  <c r="J69" i="12"/>
  <c r="J63" i="12"/>
  <c r="J62" i="12"/>
  <c r="J61" i="12"/>
  <c r="J60" i="12"/>
  <c r="J56" i="12"/>
  <c r="J55" i="12"/>
  <c r="J54" i="12"/>
  <c r="J53" i="12"/>
  <c r="J47" i="12"/>
  <c r="J46" i="12"/>
  <c r="J45" i="12"/>
  <c r="J44" i="12"/>
  <c r="J91" i="12"/>
  <c r="J84" i="12"/>
  <c r="J75" i="12"/>
  <c r="J68" i="12"/>
  <c r="J59" i="12"/>
  <c r="J52" i="12"/>
  <c r="J43" i="12"/>
  <c r="J38" i="12"/>
  <c r="A11" i="16" l="1"/>
  <c r="A12" i="16"/>
  <c r="A13" i="16"/>
  <c r="A18" i="16"/>
  <c r="A19" i="16"/>
  <c r="A20" i="16"/>
  <c r="A21" i="16"/>
  <c r="A24" i="16"/>
  <c r="A25" i="16"/>
  <c r="A26" i="16"/>
  <c r="A28" i="16"/>
  <c r="A29" i="16"/>
  <c r="A30" i="16"/>
  <c r="A31" i="16"/>
  <c r="A34" i="16"/>
  <c r="A35" i="16"/>
  <c r="A36" i="16"/>
  <c r="A38" i="16"/>
  <c r="A39" i="16"/>
  <c r="A40" i="16"/>
  <c r="A42" i="16"/>
  <c r="A44" i="16"/>
  <c r="A45" i="16"/>
  <c r="A46" i="16"/>
  <c r="A47" i="16"/>
  <c r="F14" i="16" l="1"/>
  <c r="E14" i="16"/>
  <c r="E17" i="16"/>
  <c r="F17" i="16"/>
  <c r="E16" i="16"/>
  <c r="F16" i="16"/>
  <c r="H41" i="16" l="1"/>
  <c r="G41" i="16"/>
  <c r="J161" i="12"/>
  <c r="J156" i="12"/>
  <c r="J166" i="12"/>
  <c r="J154" i="12"/>
  <c r="J149" i="12"/>
  <c r="F14" i="12"/>
  <c r="I41" i="16" l="1"/>
  <c r="H106" i="12" l="1"/>
  <c r="K106" i="12" s="1"/>
  <c r="F105" i="12"/>
  <c r="H105" i="12" s="1"/>
  <c r="K105" i="12" s="1"/>
  <c r="F104" i="12"/>
  <c r="H104" i="12" s="1"/>
  <c r="K104" i="12" s="1"/>
  <c r="H103" i="12"/>
  <c r="K103" i="12" s="1"/>
  <c r="H102" i="12"/>
  <c r="D102" i="12" s="1"/>
  <c r="H97" i="12"/>
  <c r="F95" i="12"/>
  <c r="H95" i="12" s="1"/>
  <c r="K95" i="12" s="1"/>
  <c r="F94" i="12"/>
  <c r="H94" i="12" s="1"/>
  <c r="K94" i="12" s="1"/>
  <c r="F93" i="12"/>
  <c r="H93" i="12" s="1"/>
  <c r="K93" i="12" s="1"/>
  <c r="F92" i="12"/>
  <c r="H92" i="12" s="1"/>
  <c r="K92" i="12" s="1"/>
  <c r="F91" i="12"/>
  <c r="H91" i="12" s="1"/>
  <c r="K91" i="12" s="1"/>
  <c r="H88" i="12"/>
  <c r="K88" i="12" s="1"/>
  <c r="F88" i="12"/>
  <c r="H87" i="12"/>
  <c r="K87" i="12" s="1"/>
  <c r="F87" i="12"/>
  <c r="H86" i="12"/>
  <c r="K86" i="12" s="1"/>
  <c r="F86" i="12"/>
  <c r="H85" i="12"/>
  <c r="K85" i="12" s="1"/>
  <c r="F85" i="12"/>
  <c r="H84" i="12"/>
  <c r="K84" i="12" s="1"/>
  <c r="F84" i="12"/>
  <c r="H81" i="12"/>
  <c r="F79" i="12"/>
  <c r="F78" i="12"/>
  <c r="F77" i="12"/>
  <c r="F76" i="12"/>
  <c r="F75" i="12"/>
  <c r="F72" i="12"/>
  <c r="H72" i="12" s="1"/>
  <c r="K72" i="12" s="1"/>
  <c r="F71" i="12"/>
  <c r="H71" i="12" s="1"/>
  <c r="K71" i="12" s="1"/>
  <c r="F70" i="12"/>
  <c r="H70" i="12" s="1"/>
  <c r="K70" i="12" s="1"/>
  <c r="F69" i="12"/>
  <c r="H69" i="12" s="1"/>
  <c r="K69" i="12" s="1"/>
  <c r="F68" i="12"/>
  <c r="H68" i="12" s="1"/>
  <c r="K68" i="12" s="1"/>
  <c r="H65" i="12"/>
  <c r="H63" i="12"/>
  <c r="K63" i="12" s="1"/>
  <c r="F63" i="12"/>
  <c r="H62" i="12"/>
  <c r="K62" i="12" s="1"/>
  <c r="F62" i="12"/>
  <c r="H61" i="12"/>
  <c r="K61" i="12" s="1"/>
  <c r="F61" i="12"/>
  <c r="H60" i="12"/>
  <c r="K60" i="12" s="1"/>
  <c r="F60" i="12"/>
  <c r="H59" i="12"/>
  <c r="K59" i="12" s="1"/>
  <c r="F59" i="12"/>
  <c r="F56" i="12"/>
  <c r="H56" i="12" s="1"/>
  <c r="K56" i="12" s="1"/>
  <c r="F55" i="12"/>
  <c r="H55" i="12" s="1"/>
  <c r="K55" i="12" s="1"/>
  <c r="F54" i="12"/>
  <c r="H54" i="12" s="1"/>
  <c r="K54" i="12" s="1"/>
  <c r="F53" i="12"/>
  <c r="H53" i="12" s="1"/>
  <c r="K53" i="12" s="1"/>
  <c r="F52" i="12"/>
  <c r="H52" i="12" s="1"/>
  <c r="K52" i="12" s="1"/>
  <c r="H49" i="12"/>
  <c r="F47" i="12"/>
  <c r="H47" i="12" s="1"/>
  <c r="K47" i="12" s="1"/>
  <c r="F46" i="12"/>
  <c r="H46" i="12" s="1"/>
  <c r="K46" i="12" s="1"/>
  <c r="F45" i="12"/>
  <c r="H45" i="12" s="1"/>
  <c r="K45" i="12" s="1"/>
  <c r="F44" i="12"/>
  <c r="H44" i="12" s="1"/>
  <c r="K44" i="12" s="1"/>
  <c r="F43" i="12"/>
  <c r="H43" i="12" s="1"/>
  <c r="K43" i="12" s="1"/>
  <c r="F40" i="12"/>
  <c r="F39" i="12"/>
  <c r="F38" i="12"/>
  <c r="F37" i="12"/>
  <c r="F36" i="12"/>
  <c r="H29" i="12"/>
  <c r="K29" i="12" s="1"/>
  <c r="F29" i="12"/>
  <c r="H28" i="12"/>
  <c r="K28" i="12" s="1"/>
  <c r="F28" i="12"/>
  <c r="H23" i="12"/>
  <c r="K23" i="12" s="1"/>
  <c r="H22" i="12"/>
  <c r="K22" i="12" s="1"/>
  <c r="L31" i="12" l="1"/>
  <c r="E8" i="13" s="1"/>
  <c r="J65" i="12"/>
  <c r="K65" i="12" s="1"/>
  <c r="J97" i="12"/>
  <c r="K97" i="12" s="1"/>
  <c r="H37" i="12"/>
  <c r="K37" i="12" s="1"/>
  <c r="H75" i="12"/>
  <c r="K75" i="12" s="1"/>
  <c r="H77" i="12"/>
  <c r="K77" i="12" s="1"/>
  <c r="H79" i="12"/>
  <c r="K79" i="12" s="1"/>
  <c r="K102" i="12"/>
  <c r="H36" i="12"/>
  <c r="K36" i="12" s="1"/>
  <c r="H38" i="12"/>
  <c r="K38" i="12" s="1"/>
  <c r="H39" i="12"/>
  <c r="K39" i="12" s="1"/>
  <c r="H40" i="12"/>
  <c r="K40" i="12" s="1"/>
  <c r="H76" i="12"/>
  <c r="K76" i="12" s="1"/>
  <c r="H78" i="12"/>
  <c r="K78" i="12" s="1"/>
  <c r="G16" i="16"/>
  <c r="C15" i="16"/>
  <c r="C8" i="16"/>
  <c r="C23" i="16"/>
  <c r="F205" i="12"/>
  <c r="F166" i="12"/>
  <c r="F161" i="12"/>
  <c r="F156" i="12"/>
  <c r="F154" i="12"/>
  <c r="H154" i="12" s="1"/>
  <c r="K154" i="12" s="1"/>
  <c r="F149" i="12"/>
  <c r="H149" i="12" s="1"/>
  <c r="F145" i="12"/>
  <c r="F140" i="12"/>
  <c r="F135" i="12"/>
  <c r="H135" i="12" s="1"/>
  <c r="H138" i="12" s="1"/>
  <c r="H166" i="12"/>
  <c r="K166" i="12" s="1"/>
  <c r="H161" i="12"/>
  <c r="H165" i="12" s="1"/>
  <c r="F197" i="12"/>
  <c r="F187" i="12"/>
  <c r="F198" i="12"/>
  <c r="H255" i="12"/>
  <c r="K255" i="12" s="1"/>
  <c r="H254" i="12"/>
  <c r="K254" i="12" s="1"/>
  <c r="F234" i="12"/>
  <c r="H234" i="12" s="1"/>
  <c r="K234" i="12" s="1"/>
  <c r="F239" i="12"/>
  <c r="H239" i="12" s="1"/>
  <c r="K239" i="12" s="1"/>
  <c r="F238" i="12"/>
  <c r="H238" i="12" s="1"/>
  <c r="K238" i="12" s="1"/>
  <c r="F233" i="12"/>
  <c r="H233" i="12" s="1"/>
  <c r="K233" i="12" s="1"/>
  <c r="F232" i="12"/>
  <c r="H232" i="12" s="1"/>
  <c r="K232" i="12" s="1"/>
  <c r="F231" i="12"/>
  <c r="F228" i="12"/>
  <c r="H244" i="12"/>
  <c r="K244" i="12" s="1"/>
  <c r="H235" i="12"/>
  <c r="K235" i="12" s="1"/>
  <c r="H231" i="12"/>
  <c r="K231" i="12" s="1"/>
  <c r="H198" i="12"/>
  <c r="K198" i="12" s="1"/>
  <c r="H199" i="12"/>
  <c r="K199" i="12" s="1"/>
  <c r="H192" i="12"/>
  <c r="K192" i="12" s="1"/>
  <c r="L194" i="12" s="1"/>
  <c r="E19" i="13" s="1"/>
  <c r="F176" i="12"/>
  <c r="H187" i="12"/>
  <c r="K187" i="12" s="1"/>
  <c r="L189" i="12" s="1"/>
  <c r="E18" i="13" s="1"/>
  <c r="F177" i="12"/>
  <c r="F182" i="12"/>
  <c r="F117" i="12"/>
  <c r="H125" i="12"/>
  <c r="K125" i="12" s="1"/>
  <c r="H221" i="12"/>
  <c r="K221" i="12" s="1"/>
  <c r="H220" i="12"/>
  <c r="K220" i="12" s="1"/>
  <c r="F15" i="12"/>
  <c r="F20" i="12"/>
  <c r="F16" i="12"/>
  <c r="F18" i="12"/>
  <c r="F19" i="12"/>
  <c r="L108" i="12" l="1"/>
  <c r="E10" i="13" s="1"/>
  <c r="J49" i="12"/>
  <c r="K49" i="12" s="1"/>
  <c r="J81" i="12"/>
  <c r="K81" i="12" s="1"/>
  <c r="H16" i="16"/>
  <c r="I16" i="16" s="1"/>
  <c r="H156" i="12"/>
  <c r="H159" i="12" s="1"/>
  <c r="H152" i="12"/>
  <c r="H150" i="12"/>
  <c r="H151" i="12" s="1"/>
  <c r="H153" i="12"/>
  <c r="K149" i="12"/>
  <c r="H139" i="12"/>
  <c r="H162" i="12"/>
  <c r="H163" i="12" s="1"/>
  <c r="H164" i="12"/>
  <c r="K161" i="12"/>
  <c r="K135" i="12"/>
  <c r="H136" i="12"/>
  <c r="H137" i="12" s="1"/>
  <c r="H228" i="12"/>
  <c r="K228" i="12" s="1"/>
  <c r="L241" i="12" s="1"/>
  <c r="E23" i="13" s="1"/>
  <c r="A9" i="12"/>
  <c r="A10" i="12"/>
  <c r="A11" i="12"/>
  <c r="A12" i="12"/>
  <c r="A13" i="12"/>
  <c r="L99" i="12" l="1"/>
  <c r="E9" i="13" s="1"/>
  <c r="K156" i="12"/>
  <c r="H160" i="12"/>
  <c r="H157" i="12"/>
  <c r="H158" i="12" s="1"/>
  <c r="H8" i="12" l="1"/>
  <c r="K8" i="12" s="1"/>
  <c r="L10" i="12" s="1"/>
  <c r="H145" i="12" l="1"/>
  <c r="K145" i="12" s="1"/>
  <c r="H140" i="12"/>
  <c r="H143" i="12" s="1"/>
  <c r="K140" i="12" l="1"/>
  <c r="L168" i="12" s="1"/>
  <c r="E14" i="13" s="1"/>
  <c r="H144" i="12"/>
  <c r="H141" i="12"/>
  <c r="H142" i="12" s="1"/>
  <c r="H117" i="12"/>
  <c r="K117" i="12" s="1"/>
  <c r="L119" i="12" l="1"/>
  <c r="E12" i="13" s="1"/>
  <c r="H37" i="16" l="1"/>
  <c r="G37" i="16"/>
  <c r="H33" i="16"/>
  <c r="G33" i="16"/>
  <c r="H32" i="16"/>
  <c r="G32" i="16"/>
  <c r="H27" i="16"/>
  <c r="G27" i="16"/>
  <c r="H23" i="16"/>
  <c r="G23" i="16"/>
  <c r="I37" i="16" l="1"/>
  <c r="I33" i="16"/>
  <c r="I32" i="16"/>
  <c r="I27" i="16"/>
  <c r="I23" i="16"/>
  <c r="H252" i="12"/>
  <c r="K252" i="12" s="1"/>
  <c r="H253" i="12"/>
  <c r="K253" i="12" s="1"/>
  <c r="H20" i="12" l="1"/>
  <c r="K20" i="12" s="1"/>
  <c r="H21" i="12"/>
  <c r="K21" i="12" s="1"/>
  <c r="H17" i="12"/>
  <c r="K17" i="12" s="1"/>
  <c r="H19" i="12" l="1"/>
  <c r="K19" i="12" s="1"/>
  <c r="A6" i="16"/>
  <c r="A7" i="16"/>
  <c r="H112" i="12" l="1"/>
  <c r="H251" i="12" l="1"/>
  <c r="K251" i="12" s="1"/>
  <c r="H270" i="12" l="1"/>
  <c r="K270" i="12" s="1"/>
  <c r="L272" i="12" s="1"/>
  <c r="E27" i="13" s="1"/>
  <c r="H219" i="12" l="1"/>
  <c r="H218" i="12"/>
  <c r="H217" i="12"/>
  <c r="H216" i="12"/>
  <c r="H197" i="12"/>
  <c r="K197" i="12" s="1"/>
  <c r="L201" i="12" s="1"/>
  <c r="E20" i="13" s="1"/>
  <c r="A48" i="16"/>
  <c r="H43" i="16"/>
  <c r="G43" i="16"/>
  <c r="H22" i="16"/>
  <c r="G22" i="16"/>
  <c r="H17" i="16"/>
  <c r="G17" i="16"/>
  <c r="H15" i="16"/>
  <c r="G15" i="16"/>
  <c r="H14" i="16"/>
  <c r="G14" i="16"/>
  <c r="H10" i="16"/>
  <c r="G10" i="16"/>
  <c r="H9" i="16"/>
  <c r="G9" i="16"/>
  <c r="H8" i="16"/>
  <c r="G8" i="16"/>
  <c r="H47" i="16" l="1"/>
  <c r="G47" i="16"/>
  <c r="I9" i="16"/>
  <c r="K217" i="12"/>
  <c r="I15" i="16"/>
  <c r="I17" i="16"/>
  <c r="I14" i="16"/>
  <c r="I43" i="16"/>
  <c r="I22" i="16"/>
  <c r="I10" i="16"/>
  <c r="I8" i="16"/>
  <c r="K216" i="12"/>
  <c r="K218" i="12"/>
  <c r="K219" i="12"/>
  <c r="L223" i="12" l="1"/>
  <c r="E22" i="13" s="1"/>
  <c r="H48" i="16" l="1"/>
  <c r="H49" i="16" s="1"/>
  <c r="K112" i="12" l="1"/>
  <c r="L114" i="12" s="1"/>
  <c r="H258" i="12"/>
  <c r="K258" i="12" s="1"/>
  <c r="H250" i="12"/>
  <c r="K250" i="12" s="1"/>
  <c r="H209" i="12"/>
  <c r="K209" i="12" s="1"/>
  <c r="E11" i="13" l="1"/>
  <c r="L246" i="12"/>
  <c r="E24" i="13" s="1"/>
  <c r="E6" i="13"/>
  <c r="H177" i="12"/>
  <c r="K177" i="12" s="1"/>
  <c r="H176" i="12"/>
  <c r="K176" i="12" s="1"/>
  <c r="H171" i="12"/>
  <c r="K171" i="12" s="1"/>
  <c r="L173" i="12" s="1"/>
  <c r="E15" i="13" s="1"/>
  <c r="H124" i="12"/>
  <c r="K124" i="12" s="1"/>
  <c r="H127" i="12"/>
  <c r="K127" i="12" s="1"/>
  <c r="H126" i="12"/>
  <c r="K126" i="12" s="1"/>
  <c r="H18" i="12"/>
  <c r="K18" i="12" s="1"/>
  <c r="H16" i="12"/>
  <c r="K16" i="12" s="1"/>
  <c r="H14" i="12"/>
  <c r="K14" i="12" s="1"/>
  <c r="L179" i="12" l="1"/>
  <c r="E16" i="13" s="1"/>
  <c r="H15" i="12"/>
  <c r="K15" i="12" s="1"/>
  <c r="L260" i="12"/>
  <c r="E25" i="13" s="1"/>
  <c r="L25" i="12" l="1"/>
  <c r="E7" i="13" s="1"/>
  <c r="A8" i="16"/>
  <c r="H210" i="12"/>
  <c r="K210" i="12" s="1"/>
  <c r="H207" i="12"/>
  <c r="K207" i="12" s="1"/>
  <c r="H182" i="12"/>
  <c r="K182" i="12" s="1"/>
  <c r="A9" i="16" l="1"/>
  <c r="L184" i="12"/>
  <c r="E17" i="13" s="1"/>
  <c r="H205" i="12"/>
  <c r="K205" i="12" s="1"/>
  <c r="A10" i="16" l="1"/>
  <c r="A14" i="16" s="1"/>
  <c r="L212" i="12"/>
  <c r="E21" i="13" s="1"/>
  <c r="A15" i="16" l="1"/>
  <c r="A16" i="16" s="1"/>
  <c r="L129" i="12"/>
  <c r="E13" i="13" s="1"/>
  <c r="A17" i="16" l="1"/>
  <c r="A7" i="12"/>
  <c r="A22" i="16" l="1"/>
  <c r="A23" i="16" s="1"/>
  <c r="A27" i="16" s="1"/>
  <c r="A32" i="16" s="1"/>
  <c r="A33" i="16" s="1"/>
  <c r="A37" i="16" s="1"/>
  <c r="A41" i="16" s="1"/>
  <c r="A43" i="16" s="1"/>
  <c r="A8" i="12"/>
  <c r="A14" i="12" l="1"/>
  <c r="A15" i="12" s="1"/>
  <c r="A16" i="12" l="1"/>
  <c r="A17" i="12" s="1"/>
  <c r="H264" i="12"/>
  <c r="K264" i="12" s="1"/>
  <c r="A18" i="12" l="1"/>
  <c r="L266" i="12"/>
  <c r="A274" i="12"/>
  <c r="A19" i="12" l="1"/>
  <c r="A20" i="12" s="1"/>
  <c r="E26" i="13"/>
  <c r="E29" i="13" s="1"/>
  <c r="E31" i="13" s="1"/>
  <c r="K275" i="12"/>
  <c r="A21" i="12" l="1"/>
  <c r="A22" i="12" s="1"/>
  <c r="A23" i="12" s="1"/>
  <c r="A28" i="12" s="1"/>
  <c r="A29" i="12" s="1"/>
  <c r="E30" i="13"/>
  <c r="E32" i="13" s="1"/>
  <c r="K276" i="12"/>
  <c r="K277" i="12"/>
  <c r="L275" i="12"/>
  <c r="A36" i="12" l="1"/>
  <c r="A37" i="12" s="1"/>
  <c r="A38" i="12" s="1"/>
  <c r="A39" i="12" s="1"/>
  <c r="A40" i="12" s="1"/>
  <c r="A43" i="12" s="1"/>
  <c r="A44" i="12" s="1"/>
  <c r="A45" i="12" s="1"/>
  <c r="A46" i="12" s="1"/>
  <c r="A47" i="12" s="1"/>
  <c r="A49" i="12" s="1"/>
  <c r="A52" i="12" s="1"/>
  <c r="A53" i="12" s="1"/>
  <c r="A54" i="12" s="1"/>
  <c r="A55" i="12" s="1"/>
  <c r="A56" i="12" s="1"/>
  <c r="A59" i="12" s="1"/>
  <c r="A60" i="12" s="1"/>
  <c r="A61" i="12" s="1"/>
  <c r="A62" i="12" s="1"/>
  <c r="A63" i="12" s="1"/>
  <c r="A65" i="12" s="1"/>
  <c r="A68" i="12" s="1"/>
  <c r="A69" i="12" s="1"/>
  <c r="A70" i="12" s="1"/>
  <c r="A71" i="12" s="1"/>
  <c r="A72" i="12" s="1"/>
  <c r="A75" i="12" s="1"/>
  <c r="A76" i="12" s="1"/>
  <c r="A77" i="12" s="1"/>
  <c r="A78" i="12" s="1"/>
  <c r="A79" i="12" s="1"/>
  <c r="A81" i="12" s="1"/>
  <c r="A84" i="12" s="1"/>
  <c r="A85" i="12" s="1"/>
  <c r="A86" i="12" s="1"/>
  <c r="A87" i="12" s="1"/>
  <c r="A88" i="12" s="1"/>
  <c r="A91" i="12" s="1"/>
  <c r="A92" i="12" s="1"/>
  <c r="A93" i="12" s="1"/>
  <c r="A94" i="12" s="1"/>
  <c r="A95" i="12" s="1"/>
  <c r="A97" i="12" s="1"/>
  <c r="A102" i="12" s="1"/>
  <c r="A103" i="12" s="1"/>
  <c r="A104" i="12" s="1"/>
  <c r="A105" i="12" s="1"/>
  <c r="A106" i="12" s="1"/>
  <c r="A112" i="12" s="1"/>
  <c r="A117" i="12" s="1"/>
  <c r="A124" i="12" s="1"/>
  <c r="A125" i="12" s="1"/>
  <c r="A126" i="12" s="1"/>
  <c r="A127" i="12" s="1"/>
  <c r="A135" i="12" s="1"/>
  <c r="A140" i="12" s="1"/>
  <c r="A145" i="12" s="1"/>
  <c r="A149" i="12" s="1"/>
  <c r="A154" i="12" s="1"/>
  <c r="A156" i="12" s="1"/>
  <c r="A161" i="12" s="1"/>
  <c r="A166" i="12" s="1"/>
  <c r="A171" i="12" s="1"/>
  <c r="A176" i="12" s="1"/>
  <c r="A177" i="12" s="1"/>
  <c r="A182" i="12" s="1"/>
  <c r="A187" i="12" s="1"/>
  <c r="A192" i="12" s="1"/>
  <c r="A197" i="12" s="1"/>
  <c r="A198" i="12" s="1"/>
  <c r="A199" i="12" s="1"/>
  <c r="A205" i="12" s="1"/>
  <c r="A207" i="12" s="1"/>
  <c r="A209" i="12" s="1"/>
  <c r="A210" i="12" s="1"/>
  <c r="A216" i="12" s="1"/>
  <c r="A217" i="12" s="1"/>
  <c r="A218" i="12" s="1"/>
  <c r="A219" i="12" s="1"/>
  <c r="A220" i="12" s="1"/>
  <c r="A221" i="12" s="1"/>
  <c r="A228" i="12" s="1"/>
  <c r="A231" i="12" s="1"/>
  <c r="A232" i="12" s="1"/>
  <c r="A233" i="12" s="1"/>
  <c r="A234" i="12" s="1"/>
  <c r="A235" i="12" s="1"/>
  <c r="A238" i="12" s="1"/>
  <c r="A239" i="12" s="1"/>
  <c r="A244" i="12" s="1"/>
  <c r="A250" i="12" s="1"/>
  <c r="A251" i="12" s="1"/>
  <c r="A252" i="12" s="1"/>
  <c r="A253" i="12" s="1"/>
  <c r="A254" i="12" s="1"/>
  <c r="A255" i="12" s="1"/>
  <c r="A258" i="12" s="1"/>
  <c r="A264" i="12" s="1"/>
  <c r="A270" i="12" s="1"/>
  <c r="L277" i="12"/>
  <c r="L276" i="12"/>
  <c r="L278" i="12" l="1"/>
  <c r="C5" i="12" s="1"/>
</calcChain>
</file>

<file path=xl/sharedStrings.xml><?xml version="1.0" encoding="utf-8"?>
<sst xmlns="http://schemas.openxmlformats.org/spreadsheetml/2006/main" count="611" uniqueCount="252">
  <si>
    <t>UNIT</t>
  </si>
  <si>
    <t>DESCRIPTION</t>
  </si>
  <si>
    <t>UNIT COST</t>
  </si>
  <si>
    <t>TOTAL BASE BID</t>
  </si>
  <si>
    <t>WASTE</t>
  </si>
  <si>
    <t>QTY. W/ WASTE</t>
  </si>
  <si>
    <t>TOTAL COST</t>
  </si>
  <si>
    <t>PROJECT</t>
  </si>
  <si>
    <t>ADDRESS</t>
  </si>
  <si>
    <t>Date of submission</t>
  </si>
  <si>
    <t>Date of plans</t>
  </si>
  <si>
    <t>SR #</t>
  </si>
  <si>
    <t>SUB TOTALS</t>
  </si>
  <si>
    <t>Rev 0</t>
  </si>
  <si>
    <t>SUB - TOTAL</t>
  </si>
  <si>
    <t>LF</t>
  </si>
  <si>
    <t>Sheet
No.</t>
  </si>
  <si>
    <t>Detail
No.</t>
  </si>
  <si>
    <t>SF</t>
  </si>
  <si>
    <t>CSI
No.</t>
  </si>
  <si>
    <t>EA</t>
  </si>
  <si>
    <t>09 00 00</t>
  </si>
  <si>
    <t>FINISHES</t>
  </si>
  <si>
    <t>10 00 00</t>
  </si>
  <si>
    <t>SPECIALITIES</t>
  </si>
  <si>
    <t>12 00 00</t>
  </si>
  <si>
    <t>FURNISHINGS</t>
  </si>
  <si>
    <t>LS</t>
  </si>
  <si>
    <t>Millwork Sub Total</t>
  </si>
  <si>
    <t>Note: Please Refer to next tabs for detailed estimates.</t>
  </si>
  <si>
    <t>BATHROOM ACCESSORIES</t>
  </si>
  <si>
    <t>Bathroom Accessoreis Sub Total</t>
  </si>
  <si>
    <t>01 00 00</t>
  </si>
  <si>
    <t>GENERAL CONDITIONS</t>
  </si>
  <si>
    <t>General Conditions Sub Total</t>
  </si>
  <si>
    <t>22 00 00</t>
  </si>
  <si>
    <t>PLUMBING</t>
  </si>
  <si>
    <t>FIXTURES</t>
  </si>
  <si>
    <t xml:space="preserve">26 00 00 </t>
  </si>
  <si>
    <t>ELECTRICAL</t>
  </si>
  <si>
    <t>Electrical Sub Total</t>
  </si>
  <si>
    <t>SOLID SURFACE COUNTERTOP AND BACKSPLASH</t>
  </si>
  <si>
    <t xml:space="preserve">ALLOWANCE </t>
  </si>
  <si>
    <t>Exculsions</t>
  </si>
  <si>
    <t>Plumbing Sub Total</t>
  </si>
  <si>
    <t>Soap Dispenser</t>
  </si>
  <si>
    <t>PAINTING</t>
  </si>
  <si>
    <t>PAINT ON WALLS</t>
  </si>
  <si>
    <t>PAINT ON CEILING</t>
  </si>
  <si>
    <t>Painting Sub Total</t>
  </si>
  <si>
    <t xml:space="preserve">4'x8' GB Sheet </t>
  </si>
  <si>
    <t>Sheets</t>
  </si>
  <si>
    <t>500' Tape Roll</t>
  </si>
  <si>
    <t>Rolls</t>
  </si>
  <si>
    <t>Joint Compound</t>
  </si>
  <si>
    <t>Gallons</t>
  </si>
  <si>
    <t>1-1/4" Drywall Screws</t>
  </si>
  <si>
    <t>Pounds</t>
  </si>
  <si>
    <t xml:space="preserve">Accoustic Sealant At Top &amp; Bottom </t>
  </si>
  <si>
    <t>EA.</t>
  </si>
  <si>
    <t>DRYWALL ASSEMBLIES</t>
  </si>
  <si>
    <t>Openings Sub Total</t>
  </si>
  <si>
    <t>08 00 00</t>
  </si>
  <si>
    <t>OPENINGS</t>
  </si>
  <si>
    <t>DOORS, FRAMES &amp; HARDWARES</t>
  </si>
  <si>
    <t>FIRST FLOOR</t>
  </si>
  <si>
    <t>Drywall Assemblies Sub Total</t>
  </si>
  <si>
    <t>GWB CEILING</t>
  </si>
  <si>
    <t>GWB Ceiling Sub Total</t>
  </si>
  <si>
    <t>SHELVES</t>
  </si>
  <si>
    <t>Tissue Paper Holder</t>
  </si>
  <si>
    <t>Water Closet</t>
  </si>
  <si>
    <t>Sink &amp; Faucet</t>
  </si>
  <si>
    <t>03 00 00</t>
  </si>
  <si>
    <t>02 00 00</t>
  </si>
  <si>
    <t>DEMOLITION</t>
  </si>
  <si>
    <t>EXISTING CONDITION</t>
  </si>
  <si>
    <t>Demolition Sub Total</t>
  </si>
  <si>
    <t>Remove Existing Interior Walls</t>
  </si>
  <si>
    <t>Remove Existing Flooring</t>
  </si>
  <si>
    <t>INTERIOR DOORS</t>
  </si>
  <si>
    <t>2x4 INTERIOR WALLS</t>
  </si>
  <si>
    <t>SECOND FLOOR</t>
  </si>
  <si>
    <t>WOOD FLOORING</t>
  </si>
  <si>
    <t xml:space="preserve">Hardwood Flooring </t>
  </si>
  <si>
    <t>Wood Flooring Sub Total</t>
  </si>
  <si>
    <t>TILING</t>
  </si>
  <si>
    <t>Tiling Sub Total</t>
  </si>
  <si>
    <t>Toilet Seat Cover</t>
  </si>
  <si>
    <t>06 00 00</t>
  </si>
  <si>
    <t>WOOD, PLASTICS &amp; COMPOSITES</t>
  </si>
  <si>
    <t>Doors Trim</t>
  </si>
  <si>
    <t>2'-0" Deep Base Cabinet</t>
  </si>
  <si>
    <t>Paint On Ceiling</t>
  </si>
  <si>
    <t>PAINT ON DOORS</t>
  </si>
  <si>
    <t>Paint On Single Panel Doors</t>
  </si>
  <si>
    <t>Paint On Double Panel Doors</t>
  </si>
  <si>
    <t>Paint On Walls</t>
  </si>
  <si>
    <t>MECHANICAL</t>
  </si>
  <si>
    <t>Mechanical Sub Total</t>
  </si>
  <si>
    <t>QTY.</t>
  </si>
  <si>
    <t>LABOR 
UNIT COST</t>
  </si>
  <si>
    <t>MATERIAL UNIT  COST</t>
  </si>
  <si>
    <t>TOTAL LABOR</t>
  </si>
  <si>
    <t>TOTAL MATERIAL</t>
  </si>
  <si>
    <t>Interior Wall Framing Second Floor:</t>
  </si>
  <si>
    <t>Beam/Headers:</t>
  </si>
  <si>
    <t>Wood Posts:</t>
  </si>
  <si>
    <t>Allowance For Misc. Hardware</t>
  </si>
  <si>
    <t>Note: 10% Wastage is figured with all quantities</t>
  </si>
  <si>
    <t>Total Labor</t>
  </si>
  <si>
    <t>Total Material</t>
  </si>
  <si>
    <t>SALES TAX</t>
  </si>
  <si>
    <t>CONCRETE</t>
  </si>
  <si>
    <t>CY</t>
  </si>
  <si>
    <t>LB</t>
  </si>
  <si>
    <t>Formwork</t>
  </si>
  <si>
    <t>SFCA</t>
  </si>
  <si>
    <t>Excavation (Hand Dig)</t>
  </si>
  <si>
    <t>Anything Not Mentioned Above</t>
  </si>
  <si>
    <t>ALLOWANCE</t>
  </si>
  <si>
    <t xml:space="preserve"> </t>
  </si>
  <si>
    <t xml:space="preserve">QTY. </t>
  </si>
  <si>
    <r>
      <t xml:space="preserve">Allowance For Plumbing Works
</t>
    </r>
    <r>
      <rPr>
        <b/>
        <i/>
        <sz val="12"/>
        <color rgb="FF002060"/>
        <rFont val="Calibri"/>
        <family val="2"/>
        <scheme val="minor"/>
      </rPr>
      <t xml:space="preserve">
Note: Fixtures provided for reference only</t>
    </r>
  </si>
  <si>
    <t>Allowance For Mechanical Works</t>
  </si>
  <si>
    <t>LUMBER FRAMING</t>
  </si>
  <si>
    <t>Lumber Framing</t>
  </si>
  <si>
    <t>Lumber Sub Total</t>
  </si>
  <si>
    <t>Remove Existing Ceilings</t>
  </si>
  <si>
    <t>Remove Existing Doors (Single Panel)</t>
  </si>
  <si>
    <t>Wood Wall Base</t>
  </si>
  <si>
    <r>
      <t>Countertop W/
- 4" Backsplash</t>
    </r>
    <r>
      <rPr>
        <b/>
        <sz val="12"/>
        <rFont val="Calibri"/>
        <family val="2"/>
        <scheme val="minor"/>
      </rPr>
      <t/>
    </r>
  </si>
  <si>
    <t>Closet W/
- Shelves &amp; Rod</t>
  </si>
  <si>
    <t>2x4x92 5/8" DF #2</t>
  </si>
  <si>
    <t>2x4x16' PT DF #2</t>
  </si>
  <si>
    <t>2x4x16' DF #2</t>
  </si>
  <si>
    <t>General Requirements
- Mobilization
- Permits
- Project Supervision
- Cleaning
- Insurance
- Submittals
- Shop Drawings
- Temporary Facilites</t>
  </si>
  <si>
    <t>OVER HEAD &amp; PROFIT</t>
  </si>
  <si>
    <t xml:space="preserve">TOTAL </t>
  </si>
  <si>
    <t>Remove Existing Misc. Item</t>
  </si>
  <si>
    <t>Remove Existing Post 6x6</t>
  </si>
  <si>
    <t>Remove Existing Doors (Double Panel)</t>
  </si>
  <si>
    <t>Remove Existing Concrete Wall</t>
  </si>
  <si>
    <t>A-01</t>
  </si>
  <si>
    <r>
      <t>Shower Curtain Rod</t>
    </r>
    <r>
      <rPr>
        <b/>
        <sz val="12"/>
        <rFont val="Calibri"/>
        <family val="2"/>
        <scheme val="minor"/>
      </rPr>
      <t xml:space="preserve"> (4'-0" Wide)</t>
    </r>
  </si>
  <si>
    <r>
      <t xml:space="preserve">Mirror </t>
    </r>
    <r>
      <rPr>
        <b/>
        <sz val="12"/>
        <rFont val="Calibri"/>
        <family val="2"/>
        <scheme val="minor"/>
      </rPr>
      <t>(3'-1" Wide)</t>
    </r>
  </si>
  <si>
    <t>Trash Receptacle</t>
  </si>
  <si>
    <r>
      <t>Double Panel Bifold Doors
Size: 4'-0" x 6'-8"</t>
    </r>
    <r>
      <rPr>
        <b/>
        <i/>
        <sz val="12"/>
        <rFont val="Calibri"/>
        <family val="2"/>
        <scheme val="minor"/>
      </rPr>
      <t xml:space="preserve"> </t>
    </r>
  </si>
  <si>
    <r>
      <t>Double Panel Bifold Doors
Size: 3'-0" x 6'-8"</t>
    </r>
    <r>
      <rPr>
        <b/>
        <i/>
        <sz val="12"/>
        <rFont val="Calibri"/>
        <family val="2"/>
        <scheme val="minor"/>
      </rPr>
      <t xml:space="preserve"> </t>
    </r>
  </si>
  <si>
    <t>Swing Single Panel Doors
Size: 2'-4" x 6'-8"</t>
  </si>
  <si>
    <t>Swing Single Panel Doors
Size: 2'-8" x 6'-8"</t>
  </si>
  <si>
    <t>DOOR TRIMS</t>
  </si>
  <si>
    <t>Doors Trim Sub Total</t>
  </si>
  <si>
    <t xml:space="preserve">Tile Flooring @ Bath </t>
  </si>
  <si>
    <t>Full Height Wall Tiles @ Bath</t>
  </si>
  <si>
    <t>TRANSITION</t>
  </si>
  <si>
    <t>Threshold (Wood To Tile)</t>
  </si>
  <si>
    <t>Transition Sub Total</t>
  </si>
  <si>
    <t>PATCH &amp; REPAIR</t>
  </si>
  <si>
    <t>Patch &amp; Repair Existing Walls</t>
  </si>
  <si>
    <t>Patch &amp; Repair Existing Ceilings</t>
  </si>
  <si>
    <t>Patch &amp; Repair Existing Floor Finishes</t>
  </si>
  <si>
    <t>MILLWORK</t>
  </si>
  <si>
    <t>FURNITURE</t>
  </si>
  <si>
    <t>Chairs</t>
  </si>
  <si>
    <t>Furniture Sub Total</t>
  </si>
  <si>
    <t>1'-0" Deep Base Cabinet</t>
  </si>
  <si>
    <t>1'-2" Deep Base Cabinet</t>
  </si>
  <si>
    <r>
      <t xml:space="preserve">Shelves </t>
    </r>
    <r>
      <rPr>
        <b/>
        <i/>
        <sz val="12"/>
        <rFont val="Calibri"/>
        <family val="2"/>
        <scheme val="minor"/>
      </rPr>
      <t>(Assumed 03 Shelves)</t>
    </r>
  </si>
  <si>
    <t>1'-3" Deep Vanity Base Cabinet</t>
  </si>
  <si>
    <t>Full Height Pantry Cabinet 3'-5" Deep x 8'-2" High</t>
  </si>
  <si>
    <t>Bar Sink &amp; Faucet</t>
  </si>
  <si>
    <t>Shower Enclosure W/ Accessories 
Size: 3'-0" x 4'-0"</t>
  </si>
  <si>
    <t>Water Heater</t>
  </si>
  <si>
    <t>Furnace</t>
  </si>
  <si>
    <t>Note: Plans do not clearly indicates whether the water heater and furnace are new or existing so we have provided the quantity but have not added price in it. Please confirm and add prce if required</t>
  </si>
  <si>
    <t>CABINETS</t>
  </si>
  <si>
    <t>GWB Ceiling As;
- (1) Layer of 1/2" Type"X" Gypsum Board Ceiling Attached To Josit Framing</t>
  </si>
  <si>
    <t>Wood Wall Base Sub Total</t>
  </si>
  <si>
    <t>WOOD WALL BASE</t>
  </si>
  <si>
    <t>BASEMENT FLOOR</t>
  </si>
  <si>
    <t>1 Layer of 1/2" Type"X" Gypsum Board on Both Sides of Wall</t>
  </si>
  <si>
    <t xml:space="preserve">1 Layer of 1/2" Type"X" Moisture Resistant Gypsum Board </t>
  </si>
  <si>
    <t>2x4 INTERIOR INFILL WALLS</t>
  </si>
  <si>
    <t>BASEMENT</t>
  </si>
  <si>
    <t>3-1/2x11-1/4 M.L.</t>
  </si>
  <si>
    <t>3-1/2x11-7/8 M.L.</t>
  </si>
  <si>
    <t>4" Dia. Column (8'-0" High)</t>
  </si>
  <si>
    <t>Column:</t>
  </si>
  <si>
    <t>3-1/2x14 M.L.</t>
  </si>
  <si>
    <t>5-1/4x18 M.L.</t>
  </si>
  <si>
    <t>Interior Wall Framing Basement Floor:</t>
  </si>
  <si>
    <t>2x4x104-5/8" #2 DF</t>
  </si>
  <si>
    <t>2x4x92-5/8" #2 DF</t>
  </si>
  <si>
    <t>S1</t>
  </si>
  <si>
    <r>
      <t xml:space="preserve">Demolish Rat Slab 
</t>
    </r>
    <r>
      <rPr>
        <b/>
        <sz val="12"/>
        <rFont val="Calibri"/>
        <family val="2"/>
        <scheme val="minor"/>
      </rPr>
      <t>Location: Crawl Space</t>
    </r>
  </si>
  <si>
    <r>
      <t xml:space="preserve">Demolish Slab on Grade 
</t>
    </r>
    <r>
      <rPr>
        <b/>
        <sz val="12"/>
        <rFont val="Calibri"/>
        <family val="2"/>
        <scheme val="minor"/>
      </rPr>
      <t>Location: Basement</t>
    </r>
  </si>
  <si>
    <t>BULK EXCAVATION</t>
  </si>
  <si>
    <t>S2</t>
  </si>
  <si>
    <r>
      <t xml:space="preserve">Hand Dig Excavation
</t>
    </r>
    <r>
      <rPr>
        <b/>
        <sz val="12"/>
        <rFont val="Calibri"/>
        <family val="2"/>
        <scheme val="minor"/>
      </rPr>
      <t>Location: Crawl Space
Depth: 7'-0"</t>
    </r>
  </si>
  <si>
    <r>
      <t xml:space="preserve">Hand Dig Excavation
</t>
    </r>
    <r>
      <rPr>
        <b/>
        <sz val="12"/>
        <rFont val="Calibri"/>
        <family val="2"/>
        <scheme val="minor"/>
      </rPr>
      <t>Location: Basement
Depth: 2'-0"</t>
    </r>
  </si>
  <si>
    <t>UNDERPINNING</t>
  </si>
  <si>
    <t>Underpinning Footing
Section Length: 2'-4" 
Section Width: 1'-6"
Section Depth: 1'-0"</t>
  </si>
  <si>
    <t>Concrete (4000 Psi)</t>
  </si>
  <si>
    <t>(2) #4 Longitdunal Bars</t>
  </si>
  <si>
    <t>#4 Longitudnal Bars @ 24" O.C.</t>
  </si>
  <si>
    <t>Underpinning Wall
Section Length: 2'-4" 
Section Width: 1'-0"
Section Depth: 7'-4"</t>
  </si>
  <si>
    <t>(2) #4 Horizontal Bars @ Top, Mid and Bottom</t>
  </si>
  <si>
    <t>#4 Vertical Bars @ 16" O.C. Each Face</t>
  </si>
  <si>
    <t>LOC</t>
  </si>
  <si>
    <t>Underpinning Footing
Section Length: 3'-0" 
Section Width: 1'-6"
Section Depth: 1'-0"</t>
  </si>
  <si>
    <t>Underpinning Wall
Section Length: 3'-0" 
Section Width: 1'-0"
Section Depth: 7'-4"</t>
  </si>
  <si>
    <t>Underpinning Footing
Section Length: 3'-3" 
Section Width: 1'-6"
Section Depth: 1'-0"</t>
  </si>
  <si>
    <t>Underpinning Wall
Section Length: 3'-3" 
Section Width: 1'-0"
Section Depth: 7'-4"</t>
  </si>
  <si>
    <t>Underpinning Footing
Section Length: 4'-0" 
Section Width: 1'-6"
Section Depth: 1'-0"</t>
  </si>
  <si>
    <t>Underpinning Wall
Section Length: 4'-0" 
Section Width: 1'-0"
Section Depth: 7'-4"</t>
  </si>
  <si>
    <t>BASEMENT SLAB ON GRADE</t>
  </si>
  <si>
    <t>4" Thick Concrete (3000 Psi) Slab On Grade W/
- 6x6x-W1.4xW1.4 WWM</t>
  </si>
  <si>
    <t>10 Mil Vapor Barrier</t>
  </si>
  <si>
    <t xml:space="preserve">Aggregate Base 
- 4" Thick </t>
  </si>
  <si>
    <t>Control Joint</t>
  </si>
  <si>
    <t>Expansion Joint</t>
  </si>
  <si>
    <t>Misc. Blocking:</t>
  </si>
  <si>
    <t>2x6x16' #2 DF</t>
  </si>
  <si>
    <t>4x4x9' Post</t>
  </si>
  <si>
    <t>Basement Slab On Grade Sub Total</t>
  </si>
  <si>
    <t>Underpinning Sub Total</t>
  </si>
  <si>
    <t>Patch &amp; Repair Sub Total</t>
  </si>
  <si>
    <t>General Conditions</t>
  </si>
  <si>
    <t>Demolition</t>
  </si>
  <si>
    <t>Underpinning</t>
  </si>
  <si>
    <t>Basement Slab On Grade</t>
  </si>
  <si>
    <t>Lumber</t>
  </si>
  <si>
    <t>Openings</t>
  </si>
  <si>
    <t>Drywall Assemblies</t>
  </si>
  <si>
    <t>GWB Ceiling</t>
  </si>
  <si>
    <t>Tiling</t>
  </si>
  <si>
    <t>Wood Flooring</t>
  </si>
  <si>
    <t>Transition</t>
  </si>
  <si>
    <t>Patch &amp; Repair</t>
  </si>
  <si>
    <t>Painting</t>
  </si>
  <si>
    <t>Bathroom Accessoreis</t>
  </si>
  <si>
    <t>Millwork</t>
  </si>
  <si>
    <t>Furniture</t>
  </si>
  <si>
    <t>Plumbing</t>
  </si>
  <si>
    <t>Mechanical</t>
  </si>
  <si>
    <t>Electrical</t>
  </si>
  <si>
    <t>Remaning Typical Sections</t>
  </si>
  <si>
    <t>Allowance For Electrical Works (Light Fixtures, Switches, Receptacle)</t>
  </si>
  <si>
    <t>CONTINGENCY</t>
  </si>
  <si>
    <t>Bulk Excavation</t>
  </si>
  <si>
    <t>Bulk Excavation Sub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</si>
</sst>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_(* \(#,##0\);_(* &quot;-&quot;_);_(@_)"/>
    <numFmt numFmtId="44" formatCode="_(&quot;$&quot;* #,##0.00_);_(&quot;$&quot;* \(#,##0.00\);_(&quot;$&quot;* &quot;-&quot;??_);_(@_)"/>
    <numFmt numFmtId="43" formatCode="_(* #,##0.00_);_(* \(#,##0.00\);_(* &quot;-&quot;??_);_(@_)"/>
    <numFmt numFmtId="164" formatCode="&quot;$&quot;#,##0"/>
    <numFmt numFmtId="165" formatCode="_(&quot;$&quot;* #,##0_);_(&quot;$&quot;* \(#,##0\);_(&quot;$&quot;* &quot;-&quot;??_);_(@_)"/>
    <numFmt numFmtId="166" formatCode="_(&quot;$&quot;* #,##0_);_(&quot;$&quot;* \(#,##0\);_(&quot;$&quot;* &quot;-&quot;?_);_(@_)"/>
    <numFmt numFmtId="167" formatCode="_(&quot;$&quot;* #,##0.00_);_(&quot;$&quot;* \(#,##0.00\);_(&quot;$&quot;* &quot;-&quot;?_);_(@_)"/>
    <numFmt numFmtId="168" formatCode="_(* #,##0_);_(* \(#,##0\);_(* &quot;-&quot;??_);_(@_)"/>
    <numFmt numFmtId="169" formatCode="0.000%"/>
    <numFmt numFmtId="170" formatCode="_(* #,##0.00_);_(* \(#,##0.00\);_(* &quot;-&quot;_);_(@_)"/>
    <numFmt numFmtId="171" formatCode="0.0"/>
    <numFmt numFmtId="172" formatCode="0\ &quot;CY&quot;"/>
    <numFmt numFmtId="173" formatCode="&quot;$&quot;#,##0.00"/>
  </numFmts>
  <fonts count="63"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Verdana"/>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0"/>
      <name val="Arial"/>
      <family val="2"/>
    </font>
    <font>
      <sz val="12"/>
      <name val="Calibri"/>
      <family val="2"/>
      <scheme val="minor"/>
    </font>
    <font>
      <b/>
      <sz val="12"/>
      <name val="Calibri"/>
      <family val="2"/>
      <scheme val="minor"/>
    </font>
    <font>
      <b/>
      <sz val="12"/>
      <color theme="0"/>
      <name val="Calibri"/>
      <family val="2"/>
      <scheme val="minor"/>
    </font>
    <font>
      <u/>
      <sz val="12"/>
      <color theme="10"/>
      <name val="Arial"/>
      <family val="2"/>
    </font>
    <font>
      <sz val="12"/>
      <color theme="0"/>
      <name val="Calibri"/>
      <family val="2"/>
      <scheme val="minor"/>
    </font>
    <font>
      <sz val="12"/>
      <color theme="1"/>
      <name val="Calibri"/>
      <family val="2"/>
      <scheme val="minor"/>
    </font>
    <font>
      <u/>
      <sz val="12"/>
      <color theme="0"/>
      <name val="Arial"/>
      <family val="2"/>
    </font>
    <font>
      <sz val="12"/>
      <name val="Arial"/>
      <family val="2"/>
    </font>
    <font>
      <b/>
      <u/>
      <sz val="12"/>
      <name val="Calibri"/>
      <family val="2"/>
      <scheme val="minor"/>
    </font>
    <font>
      <b/>
      <sz val="12"/>
      <color rgb="FFFF0000"/>
      <name val="Calibri"/>
      <family val="2"/>
      <scheme val="minor"/>
    </font>
    <font>
      <b/>
      <i/>
      <sz val="12"/>
      <color rgb="FF002060"/>
      <name val="Calibri"/>
      <family val="2"/>
      <scheme val="minor"/>
    </font>
    <font>
      <b/>
      <sz val="12"/>
      <color theme="0"/>
      <name val="Times New Roman"/>
      <family val="1"/>
    </font>
    <font>
      <b/>
      <sz val="12"/>
      <name val="Times New Roman"/>
      <family val="1"/>
    </font>
    <font>
      <sz val="12"/>
      <name val="Times New Roman"/>
      <family val="1"/>
    </font>
    <font>
      <sz val="14"/>
      <name val="Calibri"/>
      <family val="2"/>
      <scheme val="minor"/>
    </font>
    <font>
      <u/>
      <sz val="14"/>
      <color theme="0"/>
      <name val="Calibri"/>
      <family val="2"/>
      <scheme val="minor"/>
    </font>
    <font>
      <sz val="12"/>
      <color rgb="FFFF0000"/>
      <name val="Calibri"/>
      <family val="2"/>
      <scheme val="minor"/>
    </font>
    <font>
      <b/>
      <i/>
      <sz val="12"/>
      <color rgb="FFFF0000"/>
      <name val="Calibri"/>
      <family val="2"/>
      <scheme val="minor"/>
    </font>
    <font>
      <b/>
      <i/>
      <sz val="12"/>
      <color rgb="FF002060"/>
      <name val="Times New Roman"/>
      <family val="1"/>
    </font>
    <font>
      <sz val="12"/>
      <color theme="0"/>
      <name val="Times New Roman"/>
      <family val="1"/>
    </font>
    <font>
      <b/>
      <i/>
      <sz val="12"/>
      <color rgb="FFCE2008"/>
      <name val="Times New Roman"/>
      <family val="1"/>
    </font>
    <font>
      <b/>
      <i/>
      <sz val="12"/>
      <color rgb="FFFF512C"/>
      <name val="Times New Roman"/>
      <family val="1"/>
    </font>
    <font>
      <b/>
      <sz val="14"/>
      <name val="Calibri"/>
      <family val="2"/>
      <scheme val="minor"/>
    </font>
    <font>
      <b/>
      <sz val="18"/>
      <name val="Calibri"/>
      <family val="2"/>
      <scheme val="minor"/>
    </font>
    <font>
      <b/>
      <sz val="16"/>
      <name val="Calibri"/>
      <family val="2"/>
      <scheme val="minor"/>
    </font>
    <font>
      <sz val="16"/>
      <name val="Calibri"/>
      <family val="2"/>
      <scheme val="minor"/>
    </font>
    <font>
      <b/>
      <sz val="16"/>
      <name val="Verdana"/>
      <family val="2"/>
    </font>
    <font>
      <i/>
      <sz val="16"/>
      <name val="Calibri"/>
      <family val="2"/>
      <scheme val="minor"/>
    </font>
    <font>
      <b/>
      <u/>
      <sz val="16"/>
      <name val="Calibri"/>
      <family val="2"/>
      <scheme val="minor"/>
    </font>
    <font>
      <b/>
      <i/>
      <sz val="16"/>
      <color theme="4"/>
      <name val="Calibri"/>
      <family val="2"/>
      <scheme val="minor"/>
    </font>
    <font>
      <sz val="16"/>
      <color rgb="FFFF0000"/>
      <name val="Calibri"/>
      <family val="2"/>
      <scheme val="minor"/>
    </font>
    <font>
      <b/>
      <i/>
      <sz val="12"/>
      <name val="Calibri"/>
      <family val="2"/>
      <scheme val="minor"/>
    </font>
    <font>
      <b/>
      <sz val="12"/>
      <color theme="1"/>
      <name val="Times New Roman"/>
      <family val="1"/>
    </font>
    <font>
      <b/>
      <sz val="12"/>
      <color theme="1"/>
      <name val="Calibri"/>
      <family val="2"/>
      <scheme val="minor"/>
    </font>
    <font>
      <sz val="12"/>
      <color rgb="FF002060"/>
      <name val="Calibri"/>
      <family val="2"/>
      <scheme val="minor"/>
    </font>
    <font>
      <u/>
      <sz val="12"/>
      <color theme="10"/>
      <name val="Calibri"/>
      <family val="2"/>
      <scheme val="minor"/>
    </font>
    <font>
      <b/>
      <sz val="14"/>
      <color theme="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ED2DC"/>
        <bgColor indexed="64"/>
      </patternFill>
    </fill>
    <fill>
      <patternFill patternType="solid">
        <fgColor rgb="FFD5D5D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C000"/>
        <bgColor indexed="64"/>
      </patternFill>
    </fill>
    <fill>
      <patternFill patternType="solid">
        <fgColor rgb="FF00206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B0F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6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6" fillId="0" borderId="0"/>
    <xf numFmtId="0" fontId="6"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4" fillId="0" borderId="0"/>
    <xf numFmtId="0" fontId="24" fillId="0" borderId="0"/>
    <xf numFmtId="0" fontId="6" fillId="0" borderId="0"/>
    <xf numFmtId="43" fontId="24" fillId="0" borderId="0" applyFont="0" applyFill="0" applyBorder="0" applyAlignment="0" applyProtection="0"/>
    <xf numFmtId="0" fontId="25" fillId="0" borderId="0"/>
    <xf numFmtId="43" fontId="6" fillId="0" borderId="0" applyFont="0" applyFill="0" applyBorder="0" applyAlignment="0" applyProtection="0"/>
    <xf numFmtId="0" fontId="6" fillId="0" borderId="0"/>
    <xf numFmtId="44" fontId="25" fillId="0" borderId="0" applyFont="0" applyFill="0" applyBorder="0" applyAlignment="0" applyProtection="0"/>
    <xf numFmtId="0" fontId="3" fillId="0" borderId="0"/>
    <xf numFmtId="0" fontId="6" fillId="0" borderId="0"/>
    <xf numFmtId="0" fontId="3" fillId="0" borderId="0"/>
    <xf numFmtId="0" fontId="29" fillId="0" borderId="0" applyNumberFormat="0" applyFill="0" applyBorder="0" applyAlignment="0" applyProtection="0"/>
    <xf numFmtId="44" fontId="6" fillId="0" borderId="0" applyFont="0" applyFill="0" applyBorder="0" applyAlignment="0" applyProtection="0"/>
    <xf numFmtId="44" fontId="33" fillId="0" borderId="0" applyFont="0" applyFill="0" applyBorder="0" applyAlignment="0" applyProtection="0"/>
    <xf numFmtId="9" fontId="33" fillId="0" borderId="0" applyFont="0" applyFill="0" applyBorder="0" applyAlignment="0" applyProtection="0"/>
    <xf numFmtId="9" fontId="6" fillId="0" borderId="0" applyFont="0" applyFill="0" applyBorder="0" applyAlignment="0" applyProtection="0"/>
    <xf numFmtId="0" fontId="6"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444">
    <xf numFmtId="0" fontId="0" fillId="0" borderId="0" xfId="0"/>
    <xf numFmtId="0" fontId="26" fillId="0" borderId="0" xfId="0" applyFont="1" applyFill="1" applyBorder="1" applyAlignment="1">
      <alignment vertical="top"/>
    </xf>
    <xf numFmtId="0" fontId="26" fillId="24" borderId="10" xfId="0" applyFont="1" applyFill="1" applyBorder="1" applyAlignment="1" applyProtection="1">
      <alignment horizontal="center" vertical="top" wrapText="1"/>
    </xf>
    <xf numFmtId="9" fontId="26" fillId="0" borderId="10" xfId="0" applyNumberFormat="1" applyFont="1" applyFill="1" applyBorder="1" applyAlignment="1">
      <alignment horizontal="center" vertical="top"/>
    </xf>
    <xf numFmtId="41" fontId="26" fillId="0" borderId="10" xfId="0" applyNumberFormat="1" applyFont="1" applyFill="1" applyBorder="1" applyAlignment="1">
      <alignment horizontal="center" vertical="top"/>
    </xf>
    <xf numFmtId="0" fontId="26" fillId="0" borderId="15" xfId="0" applyFont="1" applyFill="1" applyBorder="1" applyAlignment="1">
      <alignment horizontal="center" vertical="top"/>
    </xf>
    <xf numFmtId="0" fontId="26" fillId="0" borderId="11" xfId="0" applyFont="1" applyFill="1" applyBorder="1" applyAlignment="1">
      <alignment vertical="top"/>
    </xf>
    <xf numFmtId="0" fontId="26" fillId="0" borderId="12" xfId="0" applyFont="1" applyBorder="1" applyAlignment="1">
      <alignment horizontal="center" vertical="top"/>
    </xf>
    <xf numFmtId="0" fontId="26" fillId="0" borderId="0" xfId="0" applyFont="1" applyBorder="1" applyAlignment="1">
      <alignment vertical="top"/>
    </xf>
    <xf numFmtId="0" fontId="26" fillId="0" borderId="0" xfId="0" applyFont="1" applyBorder="1" applyAlignment="1">
      <alignment horizontal="center" vertical="top"/>
    </xf>
    <xf numFmtId="2" fontId="26" fillId="0" borderId="0" xfId="0" applyNumberFormat="1" applyFont="1" applyBorder="1" applyAlignment="1">
      <alignment horizontal="center" vertical="top" wrapText="1"/>
    </xf>
    <xf numFmtId="164" fontId="26" fillId="0" borderId="0" xfId="0" applyNumberFormat="1" applyFont="1" applyBorder="1" applyAlignment="1">
      <alignment vertical="top"/>
    </xf>
    <xf numFmtId="0" fontId="30" fillId="0" borderId="0" xfId="0" applyFont="1" applyFill="1" applyBorder="1" applyAlignment="1">
      <alignment horizontal="center" vertical="top" wrapText="1"/>
    </xf>
    <xf numFmtId="0" fontId="31" fillId="25" borderId="0" xfId="0" applyFont="1" applyFill="1" applyBorder="1" applyAlignment="1">
      <alignment vertical="top"/>
    </xf>
    <xf numFmtId="0" fontId="26" fillId="24" borderId="17" xfId="0" applyFont="1" applyFill="1" applyBorder="1" applyAlignment="1" applyProtection="1">
      <alignment horizontal="center" vertical="top" wrapText="1"/>
    </xf>
    <xf numFmtId="2" fontId="26" fillId="0" borderId="0" xfId="0" applyNumberFormat="1" applyFont="1" applyBorder="1" applyAlignment="1">
      <alignment horizontal="left" vertical="top" wrapText="1"/>
    </xf>
    <xf numFmtId="2" fontId="26" fillId="0" borderId="17" xfId="0" applyNumberFormat="1" applyFont="1" applyFill="1" applyBorder="1" applyAlignment="1">
      <alignment horizontal="left" vertical="top" wrapText="1"/>
    </xf>
    <xf numFmtId="1" fontId="26" fillId="0" borderId="15" xfId="0" applyNumberFormat="1" applyFont="1" applyFill="1" applyBorder="1" applyAlignment="1">
      <alignment horizontal="center" vertical="top"/>
    </xf>
    <xf numFmtId="0" fontId="26" fillId="24" borderId="0" xfId="0" applyFont="1" applyFill="1" applyBorder="1" applyAlignment="1">
      <alignment vertical="top"/>
    </xf>
    <xf numFmtId="2" fontId="26" fillId="24" borderId="0" xfId="0" applyNumberFormat="1" applyFont="1" applyFill="1" applyBorder="1" applyAlignment="1">
      <alignment horizontal="center" vertical="top"/>
    </xf>
    <xf numFmtId="0" fontId="31" fillId="24" borderId="21" xfId="0" applyFont="1" applyFill="1" applyBorder="1" applyAlignment="1">
      <alignment vertical="top"/>
    </xf>
    <xf numFmtId="1" fontId="26" fillId="0" borderId="0" xfId="0" applyNumberFormat="1" applyFont="1" applyBorder="1" applyAlignment="1">
      <alignment horizontal="center" vertical="top" wrapText="1"/>
    </xf>
    <xf numFmtId="0" fontId="26" fillId="24" borderId="24" xfId="0" applyFont="1" applyFill="1" applyBorder="1" applyAlignment="1">
      <alignment vertical="top"/>
    </xf>
    <xf numFmtId="0" fontId="26" fillId="26" borderId="18" xfId="0" applyFont="1" applyFill="1" applyBorder="1" applyAlignment="1">
      <alignment vertical="top"/>
    </xf>
    <xf numFmtId="9" fontId="26" fillId="0" borderId="15" xfId="0" applyNumberFormat="1" applyFont="1" applyFill="1" applyBorder="1" applyAlignment="1">
      <alignment horizontal="center" vertical="top"/>
    </xf>
    <xf numFmtId="0" fontId="26" fillId="0" borderId="10" xfId="0" applyFont="1" applyFill="1" applyBorder="1" applyAlignment="1">
      <alignment horizontal="center" vertical="top"/>
    </xf>
    <xf numFmtId="0" fontId="27" fillId="26" borderId="18" xfId="0" applyFont="1" applyFill="1" applyBorder="1" applyAlignment="1">
      <alignment vertical="top"/>
    </xf>
    <xf numFmtId="14" fontId="26" fillId="24" borderId="0" xfId="0" applyNumberFormat="1" applyFont="1" applyFill="1" applyBorder="1" applyAlignment="1">
      <alignment horizontal="left" vertical="top"/>
    </xf>
    <xf numFmtId="1" fontId="26" fillId="26" borderId="18" xfId="0" applyNumberFormat="1" applyFont="1" applyFill="1" applyBorder="1" applyAlignment="1">
      <alignment horizontal="center" vertical="top"/>
    </xf>
    <xf numFmtId="1" fontId="26" fillId="0" borderId="10" xfId="0" applyNumberFormat="1" applyFont="1" applyFill="1" applyBorder="1" applyAlignment="1">
      <alignment horizontal="center" vertical="top"/>
    </xf>
    <xf numFmtId="0" fontId="26" fillId="24" borderId="15" xfId="0" applyFont="1" applyFill="1" applyBorder="1" applyAlignment="1" applyProtection="1">
      <alignment horizontal="center" vertical="top" wrapText="1"/>
    </xf>
    <xf numFmtId="41" fontId="26" fillId="24" borderId="10" xfId="0" applyNumberFormat="1" applyFont="1" applyFill="1" applyBorder="1" applyAlignment="1">
      <alignment horizontal="center" vertical="top"/>
    </xf>
    <xf numFmtId="0" fontId="26" fillId="24" borderId="10" xfId="0" applyFont="1" applyFill="1" applyBorder="1" applyAlignment="1">
      <alignment horizontal="center" vertical="top"/>
    </xf>
    <xf numFmtId="0" fontId="26" fillId="27" borderId="18" xfId="0" applyFont="1" applyFill="1" applyBorder="1" applyAlignment="1" applyProtection="1">
      <alignment horizontal="center" vertical="top"/>
    </xf>
    <xf numFmtId="1" fontId="26" fillId="27" borderId="18" xfId="0" applyNumberFormat="1" applyFont="1" applyFill="1" applyBorder="1" applyAlignment="1">
      <alignment horizontal="center" vertical="top"/>
    </xf>
    <xf numFmtId="9" fontId="26" fillId="27" borderId="18" xfId="0" applyNumberFormat="1" applyFont="1" applyFill="1" applyBorder="1" applyAlignment="1">
      <alignment horizontal="center" vertical="top"/>
    </xf>
    <xf numFmtId="41" fontId="26" fillId="27" borderId="18" xfId="0" applyNumberFormat="1" applyFont="1" applyFill="1" applyBorder="1" applyAlignment="1">
      <alignment horizontal="center" vertical="top"/>
    </xf>
    <xf numFmtId="0" fontId="26" fillId="27" borderId="18" xfId="0" applyFont="1" applyFill="1" applyBorder="1" applyAlignment="1">
      <alignment horizontal="center" vertical="top"/>
    </xf>
    <xf numFmtId="0" fontId="26" fillId="0" borderId="32" xfId="0" applyFont="1" applyFill="1" applyBorder="1" applyAlignment="1">
      <alignment horizontal="center" vertical="top"/>
    </xf>
    <xf numFmtId="1" fontId="26" fillId="24" borderId="15" xfId="0" applyNumberFormat="1" applyFont="1" applyFill="1" applyBorder="1" applyAlignment="1" applyProtection="1">
      <alignment horizontal="right" vertical="top"/>
    </xf>
    <xf numFmtId="0" fontId="26" fillId="0" borderId="30" xfId="0" applyFont="1" applyFill="1" applyBorder="1" applyAlignment="1" applyProtection="1">
      <alignment horizontal="center" vertical="top" wrapText="1"/>
    </xf>
    <xf numFmtId="0" fontId="26" fillId="0" borderId="15" xfId="0" applyFont="1" applyBorder="1" applyAlignment="1">
      <alignment vertical="top"/>
    </xf>
    <xf numFmtId="0" fontId="26" fillId="0" borderId="31" xfId="0" applyFont="1" applyFill="1" applyBorder="1" applyAlignment="1" applyProtection="1">
      <alignment horizontal="center" vertical="top" wrapText="1"/>
    </xf>
    <xf numFmtId="0" fontId="26" fillId="24" borderId="33" xfId="0" applyFont="1" applyFill="1" applyBorder="1" applyAlignment="1" applyProtection="1">
      <alignment horizontal="center" vertical="top" wrapText="1"/>
    </xf>
    <xf numFmtId="41" fontId="26" fillId="24" borderId="19" xfId="0" applyNumberFormat="1" applyFont="1" applyFill="1" applyBorder="1" applyAlignment="1">
      <alignment horizontal="center" vertical="top"/>
    </xf>
    <xf numFmtId="9" fontId="26" fillId="24" borderId="19" xfId="0" applyNumberFormat="1" applyFont="1" applyFill="1" applyBorder="1" applyAlignment="1">
      <alignment horizontal="center" vertical="top"/>
    </xf>
    <xf numFmtId="0" fontId="26" fillId="24" borderId="19" xfId="0" applyFont="1" applyFill="1" applyBorder="1" applyAlignment="1">
      <alignment horizontal="center" vertical="top"/>
    </xf>
    <xf numFmtId="165" fontId="27" fillId="0" borderId="20" xfId="55" applyNumberFormat="1" applyFont="1" applyFill="1" applyBorder="1" applyAlignment="1">
      <alignment horizontal="center" vertical="top"/>
    </xf>
    <xf numFmtId="2" fontId="26" fillId="24" borderId="10" xfId="0" applyNumberFormat="1" applyFont="1" applyFill="1" applyBorder="1" applyAlignment="1">
      <alignment horizontal="left" vertical="top" wrapText="1"/>
    </xf>
    <xf numFmtId="0" fontId="27" fillId="26" borderId="18" xfId="0" applyFont="1" applyFill="1" applyBorder="1" applyAlignment="1">
      <alignment horizontal="left" vertical="top"/>
    </xf>
    <xf numFmtId="0" fontId="27" fillId="27" borderId="18" xfId="0" applyFont="1" applyFill="1" applyBorder="1" applyAlignment="1" applyProtection="1">
      <alignment horizontal="right" vertical="top"/>
    </xf>
    <xf numFmtId="2" fontId="27" fillId="27" borderId="18" xfId="0" applyNumberFormat="1" applyFont="1" applyFill="1" applyBorder="1" applyAlignment="1">
      <alignment horizontal="left" vertical="top" wrapText="1"/>
    </xf>
    <xf numFmtId="2" fontId="27" fillId="24" borderId="28" xfId="0" applyNumberFormat="1" applyFont="1" applyFill="1" applyBorder="1" applyAlignment="1">
      <alignment vertical="top" wrapText="1"/>
    </xf>
    <xf numFmtId="2" fontId="27" fillId="0" borderId="10" xfId="0" applyNumberFormat="1" applyFont="1" applyFill="1" applyBorder="1" applyAlignment="1">
      <alignment horizontal="right" vertical="top" wrapText="1"/>
    </xf>
    <xf numFmtId="2" fontId="26" fillId="0" borderId="10" xfId="0" applyNumberFormat="1" applyFont="1" applyFill="1" applyBorder="1" applyAlignment="1">
      <alignment horizontal="left" vertical="top" wrapText="1"/>
    </xf>
    <xf numFmtId="2" fontId="27" fillId="24" borderId="27" xfId="0" applyNumberFormat="1" applyFont="1" applyFill="1" applyBorder="1" applyAlignment="1">
      <alignment horizontal="left" vertical="top"/>
    </xf>
    <xf numFmtId="0" fontId="26" fillId="24" borderId="21" xfId="0" applyFont="1" applyFill="1" applyBorder="1" applyAlignment="1">
      <alignment vertical="top"/>
    </xf>
    <xf numFmtId="165" fontId="27" fillId="24" borderId="20" xfId="55" applyNumberFormat="1" applyFont="1" applyFill="1" applyBorder="1" applyAlignment="1">
      <alignment horizontal="center" vertical="top"/>
    </xf>
    <xf numFmtId="1" fontId="26" fillId="24" borderId="10" xfId="0" applyNumberFormat="1" applyFont="1" applyFill="1" applyBorder="1" applyAlignment="1" applyProtection="1">
      <alignment horizontal="right" vertical="top"/>
    </xf>
    <xf numFmtId="9" fontId="26" fillId="24" borderId="10" xfId="57" applyFont="1" applyFill="1" applyBorder="1" applyAlignment="1" applyProtection="1">
      <alignment horizontal="center" vertical="top"/>
    </xf>
    <xf numFmtId="0" fontId="26" fillId="26" borderId="27" xfId="0" applyFont="1" applyFill="1" applyBorder="1" applyAlignment="1">
      <alignment vertical="top" wrapText="1"/>
    </xf>
    <xf numFmtId="0" fontId="26" fillId="27" borderId="18" xfId="0" applyFont="1" applyFill="1" applyBorder="1" applyAlignment="1" applyProtection="1">
      <alignment horizontal="center" vertical="top" wrapText="1"/>
    </xf>
    <xf numFmtId="0" fontId="26" fillId="0" borderId="0" xfId="0" applyFont="1" applyBorder="1" applyAlignment="1">
      <alignment horizontal="center" vertical="top" wrapText="1"/>
    </xf>
    <xf numFmtId="0" fontId="26" fillId="26" borderId="28" xfId="0" applyFont="1" applyFill="1" applyBorder="1" applyAlignment="1">
      <alignment vertical="top"/>
    </xf>
    <xf numFmtId="165" fontId="26" fillId="0" borderId="34" xfId="55" applyNumberFormat="1" applyFont="1" applyFill="1" applyBorder="1" applyAlignment="1">
      <alignment horizontal="center" vertical="top"/>
    </xf>
    <xf numFmtId="165" fontId="26" fillId="24" borderId="35" xfId="0" applyNumberFormat="1" applyFont="1" applyFill="1" applyBorder="1" applyAlignment="1">
      <alignment horizontal="center" vertical="top"/>
    </xf>
    <xf numFmtId="165" fontId="27" fillId="24" borderId="21" xfId="55" applyNumberFormat="1" applyFont="1" applyFill="1" applyBorder="1" applyAlignment="1">
      <alignment horizontal="center" vertical="top"/>
    </xf>
    <xf numFmtId="0" fontId="26" fillId="0" borderId="23" xfId="0" applyFont="1" applyBorder="1" applyAlignment="1">
      <alignment vertical="top"/>
    </xf>
    <xf numFmtId="165" fontId="27" fillId="0" borderId="34" xfId="55" applyNumberFormat="1" applyFont="1" applyFill="1" applyBorder="1" applyAlignment="1">
      <alignment horizontal="center" vertical="top"/>
    </xf>
    <xf numFmtId="44" fontId="27" fillId="24" borderId="0" xfId="0" applyNumberFormat="1" applyFont="1" applyFill="1" applyBorder="1" applyAlignment="1">
      <alignment horizontal="left" vertical="top"/>
    </xf>
    <xf numFmtId="44" fontId="26" fillId="26" borderId="18" xfId="55" applyNumberFormat="1" applyFont="1" applyFill="1" applyBorder="1" applyAlignment="1">
      <alignment vertical="top"/>
    </xf>
    <xf numFmtId="44" fontId="26" fillId="0" borderId="15" xfId="56" applyNumberFormat="1" applyFont="1" applyFill="1" applyBorder="1" applyAlignment="1">
      <alignment horizontal="center" vertical="top"/>
    </xf>
    <xf numFmtId="44" fontId="26" fillId="0" borderId="15" xfId="0" applyNumberFormat="1" applyFont="1" applyBorder="1" applyAlignment="1">
      <alignment vertical="top"/>
    </xf>
    <xf numFmtId="44" fontId="26" fillId="24" borderId="19" xfId="0" applyNumberFormat="1" applyFont="1" applyFill="1" applyBorder="1" applyAlignment="1" applyProtection="1">
      <alignment horizontal="center" vertical="top"/>
    </xf>
    <xf numFmtId="44" fontId="26" fillId="0" borderId="10" xfId="0" applyNumberFormat="1" applyFont="1" applyFill="1" applyBorder="1" applyAlignment="1" applyProtection="1">
      <alignment horizontal="center" vertical="top"/>
    </xf>
    <xf numFmtId="44" fontId="26" fillId="27" borderId="18" xfId="0" applyNumberFormat="1" applyFont="1" applyFill="1" applyBorder="1" applyAlignment="1">
      <alignment horizontal="center" vertical="top"/>
    </xf>
    <xf numFmtId="44" fontId="26" fillId="0" borderId="0" xfId="56" applyNumberFormat="1" applyFont="1" applyBorder="1" applyAlignment="1">
      <alignment horizontal="center" vertical="top"/>
    </xf>
    <xf numFmtId="0" fontId="26" fillId="0" borderId="37" xfId="0" applyFont="1" applyBorder="1" applyAlignment="1">
      <alignment vertical="top"/>
    </xf>
    <xf numFmtId="165" fontId="26" fillId="0" borderId="39" xfId="0" applyNumberFormat="1" applyFont="1" applyFill="1" applyBorder="1" applyAlignment="1">
      <alignment horizontal="center" vertical="top"/>
    </xf>
    <xf numFmtId="165" fontId="26" fillId="24" borderId="34" xfId="55" applyNumberFormat="1" applyFont="1" applyFill="1" applyBorder="1" applyAlignment="1">
      <alignment horizontal="center" vertical="top"/>
    </xf>
    <xf numFmtId="165" fontId="26" fillId="27" borderId="28" xfId="55" applyNumberFormat="1" applyFont="1" applyFill="1" applyBorder="1" applyAlignment="1">
      <alignment horizontal="center" vertical="top"/>
    </xf>
    <xf numFmtId="0" fontId="26" fillId="0" borderId="21" xfId="0" applyFont="1" applyFill="1" applyBorder="1" applyAlignment="1">
      <alignment vertical="top"/>
    </xf>
    <xf numFmtId="165" fontId="26" fillId="24" borderId="22" xfId="0" applyNumberFormat="1" applyFont="1" applyFill="1" applyBorder="1" applyAlignment="1">
      <alignment horizontal="center" vertical="top"/>
    </xf>
    <xf numFmtId="1" fontId="26" fillId="24" borderId="31" xfId="0" applyNumberFormat="1" applyFont="1" applyFill="1" applyBorder="1" applyAlignment="1" applyProtection="1">
      <alignment horizontal="right" vertical="top"/>
    </xf>
    <xf numFmtId="1" fontId="26" fillId="0" borderId="30" xfId="0" applyNumberFormat="1" applyFont="1" applyFill="1" applyBorder="1" applyAlignment="1">
      <alignment horizontal="center" vertical="top"/>
    </xf>
    <xf numFmtId="2" fontId="27" fillId="0" borderId="20" xfId="0" applyNumberFormat="1" applyFont="1" applyFill="1" applyBorder="1" applyAlignment="1">
      <alignment horizontal="center" vertical="top" wrapText="1"/>
    </xf>
    <xf numFmtId="44" fontId="26" fillId="24" borderId="10" xfId="55" applyNumberFormat="1" applyFont="1" applyFill="1" applyBorder="1" applyAlignment="1">
      <alignment horizontal="center" vertical="top"/>
    </xf>
    <xf numFmtId="165" fontId="26" fillId="28" borderId="10" xfId="55" applyNumberFormat="1" applyFont="1" applyFill="1" applyBorder="1" applyAlignment="1">
      <alignment horizontal="center" vertical="top"/>
    </xf>
    <xf numFmtId="44" fontId="30" fillId="30" borderId="18" xfId="56" applyNumberFormat="1" applyFont="1" applyFill="1" applyBorder="1" applyAlignment="1">
      <alignment horizontal="center" vertical="top"/>
    </xf>
    <xf numFmtId="1" fontId="27" fillId="0" borderId="41" xfId="0" applyNumberFormat="1" applyFont="1" applyFill="1" applyBorder="1" applyAlignment="1">
      <alignment horizontal="left" vertical="top"/>
    </xf>
    <xf numFmtId="1" fontId="27" fillId="0" borderId="32" xfId="0" applyNumberFormat="1" applyFont="1" applyFill="1" applyBorder="1" applyAlignment="1">
      <alignment horizontal="left" vertical="top" wrapText="1"/>
    </xf>
    <xf numFmtId="1" fontId="27" fillId="0" borderId="32" xfId="0" applyNumberFormat="1" applyFont="1" applyFill="1" applyBorder="1" applyAlignment="1">
      <alignment horizontal="left" vertical="top"/>
    </xf>
    <xf numFmtId="0" fontId="26" fillId="0" borderId="32" xfId="0" applyFont="1" applyFill="1" applyBorder="1" applyAlignment="1">
      <alignment horizontal="left" vertical="top" wrapText="1"/>
    </xf>
    <xf numFmtId="1" fontId="26" fillId="0" borderId="32" xfId="0" applyNumberFormat="1" applyFont="1" applyFill="1" applyBorder="1" applyAlignment="1">
      <alignment horizontal="center" vertical="top"/>
    </xf>
    <xf numFmtId="41" fontId="26" fillId="0" borderId="32" xfId="0" applyNumberFormat="1" applyFont="1" applyFill="1" applyBorder="1" applyAlignment="1">
      <alignment horizontal="right" vertical="top"/>
    </xf>
    <xf numFmtId="44" fontId="26" fillId="0" borderId="32" xfId="56" applyNumberFormat="1" applyFont="1" applyFill="1" applyBorder="1" applyAlignment="1">
      <alignment horizontal="center" vertical="top"/>
    </xf>
    <xf numFmtId="164" fontId="26" fillId="0" borderId="36" xfId="0" applyNumberFormat="1" applyFont="1" applyBorder="1" applyAlignment="1">
      <alignment vertical="top"/>
    </xf>
    <xf numFmtId="0" fontId="30" fillId="30" borderId="14" xfId="0" applyFont="1" applyFill="1" applyBorder="1" applyAlignment="1">
      <alignment horizontal="center" vertical="top" wrapText="1"/>
    </xf>
    <xf numFmtId="0" fontId="30" fillId="30" borderId="14" xfId="0" applyFont="1" applyFill="1" applyBorder="1" applyAlignment="1">
      <alignment horizontal="center" vertical="top"/>
    </xf>
    <xf numFmtId="2" fontId="30" fillId="30" borderId="14" xfId="0" applyNumberFormat="1" applyFont="1" applyFill="1" applyBorder="1" applyAlignment="1">
      <alignment horizontal="left" vertical="top" wrapText="1"/>
    </xf>
    <xf numFmtId="1" fontId="30" fillId="30" borderId="14" xfId="0" applyNumberFormat="1" applyFont="1" applyFill="1" applyBorder="1" applyAlignment="1">
      <alignment horizontal="center" vertical="top"/>
    </xf>
    <xf numFmtId="2" fontId="30" fillId="30" borderId="14" xfId="0" applyNumberFormat="1" applyFont="1" applyFill="1" applyBorder="1" applyAlignment="1">
      <alignment horizontal="center" vertical="top" wrapText="1"/>
    </xf>
    <xf numFmtId="2" fontId="32" fillId="30" borderId="14" xfId="54" applyNumberFormat="1" applyFont="1" applyFill="1" applyBorder="1" applyAlignment="1">
      <alignment horizontal="left" vertical="top"/>
    </xf>
    <xf numFmtId="1" fontId="28" fillId="30" borderId="40" xfId="0" applyNumberFormat="1" applyFont="1" applyFill="1" applyBorder="1" applyAlignment="1">
      <alignment horizontal="left" vertical="top"/>
    </xf>
    <xf numFmtId="1" fontId="28" fillId="30" borderId="11" xfId="0" applyNumberFormat="1" applyFont="1" applyFill="1" applyBorder="1" applyAlignment="1">
      <alignment horizontal="left" vertical="top" wrapText="1"/>
    </xf>
    <xf numFmtId="1" fontId="28" fillId="30" borderId="11" xfId="0" applyNumberFormat="1" applyFont="1" applyFill="1" applyBorder="1" applyAlignment="1">
      <alignment horizontal="left" vertical="top"/>
    </xf>
    <xf numFmtId="0" fontId="30" fillId="30" borderId="11" xfId="0" applyFont="1" applyFill="1" applyBorder="1" applyAlignment="1">
      <alignment horizontal="left" vertical="top" wrapText="1"/>
    </xf>
    <xf numFmtId="1" fontId="30" fillId="30" borderId="11" xfId="0" applyNumberFormat="1" applyFont="1" applyFill="1" applyBorder="1" applyAlignment="1">
      <alignment horizontal="center" vertical="top"/>
    </xf>
    <xf numFmtId="41" fontId="30" fillId="30" borderId="11" xfId="0" applyNumberFormat="1" applyFont="1" applyFill="1" applyBorder="1" applyAlignment="1">
      <alignment horizontal="right" vertical="top"/>
    </xf>
    <xf numFmtId="0" fontId="30" fillId="30" borderId="11" xfId="0" applyFont="1" applyFill="1" applyBorder="1" applyAlignment="1">
      <alignment horizontal="center" vertical="top"/>
    </xf>
    <xf numFmtId="2" fontId="30" fillId="30" borderId="18" xfId="0" applyNumberFormat="1" applyFont="1" applyFill="1" applyBorder="1" applyAlignment="1">
      <alignment horizontal="center" vertical="top"/>
    </xf>
    <xf numFmtId="2" fontId="36" fillId="24" borderId="0" xfId="0" applyNumberFormat="1" applyFont="1" applyFill="1" applyBorder="1" applyAlignment="1">
      <alignment vertical="top"/>
    </xf>
    <xf numFmtId="0" fontId="26" fillId="0" borderId="26" xfId="45" applyFont="1" applyFill="1" applyBorder="1" applyAlignment="1" applyProtection="1">
      <alignment horizontal="center" vertical="top"/>
    </xf>
    <xf numFmtId="167" fontId="26" fillId="0" borderId="10" xfId="0" applyNumberFormat="1" applyFont="1" applyFill="1" applyBorder="1" applyAlignment="1" applyProtection="1">
      <alignment horizontal="center" vertical="top"/>
    </xf>
    <xf numFmtId="0" fontId="27" fillId="26" borderId="27" xfId="45" applyFont="1" applyFill="1" applyBorder="1" applyAlignment="1">
      <alignment vertical="top"/>
    </xf>
    <xf numFmtId="0" fontId="27" fillId="26" borderId="18" xfId="45" applyFont="1" applyFill="1" applyBorder="1" applyAlignment="1">
      <alignment horizontal="center" vertical="center"/>
    </xf>
    <xf numFmtId="0" fontId="27" fillId="26" borderId="18" xfId="45" applyFont="1" applyFill="1" applyBorder="1" applyAlignment="1">
      <alignment horizontal="left" vertical="top"/>
    </xf>
    <xf numFmtId="1" fontId="26" fillId="26" borderId="18" xfId="45" applyNumberFormat="1" applyFont="1" applyFill="1" applyBorder="1" applyAlignment="1">
      <alignment horizontal="center" vertical="top"/>
    </xf>
    <xf numFmtId="0" fontId="26" fillId="26" borderId="18" xfId="45" applyFont="1" applyFill="1" applyBorder="1" applyAlignment="1">
      <alignment vertical="top"/>
    </xf>
    <xf numFmtId="0" fontId="26" fillId="26" borderId="28" xfId="45" applyFont="1" applyFill="1" applyBorder="1" applyAlignment="1">
      <alignment vertical="top"/>
    </xf>
    <xf numFmtId="166" fontId="27" fillId="24" borderId="21" xfId="45" applyNumberFormat="1" applyFont="1" applyFill="1" applyBorder="1" applyAlignment="1" applyProtection="1">
      <alignment horizontal="center" vertical="top"/>
    </xf>
    <xf numFmtId="0" fontId="31" fillId="25" borderId="0" xfId="45" applyFont="1" applyFill="1" applyBorder="1" applyAlignment="1">
      <alignment vertical="top"/>
    </xf>
    <xf numFmtId="0" fontId="26" fillId="24" borderId="10" xfId="45" applyFont="1" applyFill="1" applyBorder="1" applyAlignment="1" applyProtection="1">
      <alignment horizontal="center" vertical="top" wrapText="1"/>
    </xf>
    <xf numFmtId="0" fontId="26" fillId="24" borderId="15" xfId="45" applyFont="1" applyFill="1" applyBorder="1" applyAlignment="1">
      <alignment horizontal="center" vertical="top" wrapText="1"/>
    </xf>
    <xf numFmtId="1" fontId="40" fillId="0" borderId="10" xfId="45" applyNumberFormat="1" applyFont="1" applyBorder="1" applyAlignment="1">
      <alignment horizontal="right" vertical="top"/>
    </xf>
    <xf numFmtId="2" fontId="26" fillId="0" borderId="15" xfId="45" applyNumberFormat="1" applyFont="1" applyBorder="1" applyAlignment="1">
      <alignment horizontal="left" vertical="top" wrapText="1"/>
    </xf>
    <xf numFmtId="1" fontId="26" fillId="0" borderId="15" xfId="45" applyNumberFormat="1" applyFont="1" applyBorder="1" applyAlignment="1">
      <alignment horizontal="center" vertical="top"/>
    </xf>
    <xf numFmtId="9" fontId="26" fillId="24" borderId="10" xfId="58" applyFont="1" applyFill="1" applyBorder="1" applyAlignment="1" applyProtection="1">
      <alignment horizontal="center" vertical="top"/>
    </xf>
    <xf numFmtId="41" fontId="26" fillId="0" borderId="10" xfId="45" applyNumberFormat="1" applyFont="1" applyBorder="1" applyAlignment="1">
      <alignment horizontal="center" vertical="top"/>
    </xf>
    <xf numFmtId="0" fontId="26" fillId="0" borderId="10" xfId="45" applyFont="1" applyBorder="1" applyAlignment="1">
      <alignment horizontal="center" vertical="top"/>
    </xf>
    <xf numFmtId="167" fontId="26" fillId="28" borderId="15" xfId="45" applyNumberFormat="1" applyFont="1" applyFill="1" applyBorder="1" applyAlignment="1">
      <alignment horizontal="center" vertical="top"/>
    </xf>
    <xf numFmtId="165" fontId="26" fillId="0" borderId="23" xfId="55" applyNumberFormat="1" applyFont="1" applyFill="1" applyBorder="1" applyAlignment="1">
      <alignment horizontal="center" vertical="top"/>
    </xf>
    <xf numFmtId="44" fontId="41" fillId="24" borderId="24" xfId="45" applyNumberFormat="1" applyFont="1" applyFill="1" applyBorder="1" applyAlignment="1">
      <alignment vertical="top"/>
    </xf>
    <xf numFmtId="0" fontId="41" fillId="0" borderId="0" xfId="45" applyFont="1" applyAlignment="1">
      <alignment vertical="top"/>
    </xf>
    <xf numFmtId="167" fontId="26" fillId="24" borderId="15" xfId="45" applyNumberFormat="1" applyFont="1" applyFill="1" applyBorder="1" applyAlignment="1">
      <alignment horizontal="center" vertical="top"/>
    </xf>
    <xf numFmtId="167" fontId="26" fillId="24" borderId="19" xfId="0" applyNumberFormat="1" applyFont="1" applyFill="1" applyBorder="1" applyAlignment="1" applyProtection="1">
      <alignment horizontal="center" vertical="top"/>
    </xf>
    <xf numFmtId="165" fontId="27" fillId="24" borderId="28" xfId="55" applyNumberFormat="1" applyFont="1" applyFill="1" applyBorder="1" applyAlignment="1">
      <alignment horizontal="center" vertical="top"/>
    </xf>
    <xf numFmtId="1" fontId="40" fillId="24" borderId="15" xfId="45" applyNumberFormat="1" applyFont="1" applyFill="1" applyBorder="1" applyAlignment="1">
      <alignment horizontal="right" vertical="top"/>
    </xf>
    <xf numFmtId="2" fontId="26" fillId="24" borderId="15" xfId="45" applyNumberFormat="1" applyFont="1" applyFill="1" applyBorder="1" applyAlignment="1">
      <alignment horizontal="left" vertical="top" wrapText="1"/>
    </xf>
    <xf numFmtId="1" fontId="26" fillId="24" borderId="15" xfId="45" applyNumberFormat="1" applyFont="1" applyFill="1" applyBorder="1" applyAlignment="1">
      <alignment horizontal="center" vertical="top"/>
    </xf>
    <xf numFmtId="41" fontId="26" fillId="24" borderId="10" xfId="45" applyNumberFormat="1" applyFont="1" applyFill="1" applyBorder="1" applyAlignment="1">
      <alignment horizontal="center" vertical="top"/>
    </xf>
    <xf numFmtId="0" fontId="26" fillId="24" borderId="10" xfId="45" applyFont="1" applyFill="1" applyBorder="1" applyAlignment="1">
      <alignment horizontal="center" vertical="top"/>
    </xf>
    <xf numFmtId="165" fontId="26" fillId="24" borderId="23" xfId="55" applyNumberFormat="1" applyFont="1" applyFill="1" applyBorder="1" applyAlignment="1">
      <alignment horizontal="center" vertical="top"/>
    </xf>
    <xf numFmtId="0" fontId="41" fillId="24" borderId="0" xfId="45" applyFont="1" applyFill="1" applyAlignment="1">
      <alignment vertical="top"/>
    </xf>
    <xf numFmtId="1" fontId="40" fillId="0" borderId="15" xfId="45" applyNumberFormat="1" applyFont="1" applyBorder="1" applyAlignment="1">
      <alignment horizontal="right" vertical="top"/>
    </xf>
    <xf numFmtId="1" fontId="40" fillId="24" borderId="10" xfId="45" applyNumberFormat="1" applyFont="1" applyFill="1" applyBorder="1" applyAlignment="1">
      <alignment horizontal="right" vertical="top"/>
    </xf>
    <xf numFmtId="0" fontId="26" fillId="0" borderId="37" xfId="45" applyFont="1" applyFill="1" applyBorder="1" applyAlignment="1" applyProtection="1">
      <alignment horizontal="center" vertical="top"/>
    </xf>
    <xf numFmtId="0" fontId="26" fillId="24" borderId="42" xfId="45" applyFont="1" applyFill="1" applyBorder="1" applyAlignment="1" applyProtection="1">
      <alignment horizontal="center" vertical="top" wrapText="1"/>
    </xf>
    <xf numFmtId="0" fontId="43" fillId="24" borderId="10" xfId="0" applyFont="1" applyFill="1" applyBorder="1" applyAlignment="1" applyProtection="1">
      <alignment horizontal="center" vertical="top" wrapText="1"/>
    </xf>
    <xf numFmtId="166" fontId="26" fillId="28" borderId="15" xfId="45" applyNumberFormat="1" applyFont="1" applyFill="1" applyBorder="1" applyAlignment="1">
      <alignment horizontal="center" vertical="top"/>
    </xf>
    <xf numFmtId="0" fontId="38" fillId="24" borderId="12" xfId="45" applyFont="1" applyFill="1" applyBorder="1" applyAlignment="1">
      <alignment horizontal="left" vertical="top"/>
    </xf>
    <xf numFmtId="0" fontId="38" fillId="24" borderId="0" xfId="45" applyFont="1" applyFill="1" applyBorder="1" applyAlignment="1">
      <alignment horizontal="left" vertical="top"/>
    </xf>
    <xf numFmtId="2" fontId="44" fillId="24" borderId="0" xfId="45" applyNumberFormat="1" applyFont="1" applyFill="1" applyBorder="1" applyAlignment="1">
      <alignment horizontal="right" vertical="top"/>
    </xf>
    <xf numFmtId="0" fontId="38" fillId="24" borderId="24" xfId="45" applyFont="1" applyFill="1" applyBorder="1" applyAlignment="1">
      <alignment horizontal="left" vertical="top"/>
    </xf>
    <xf numFmtId="0" fontId="39" fillId="0" borderId="0" xfId="45" applyFont="1"/>
    <xf numFmtId="2" fontId="37" fillId="30" borderId="40" xfId="45" applyNumberFormat="1" applyFont="1" applyFill="1" applyBorder="1" applyAlignment="1">
      <alignment horizontal="left" vertical="top"/>
    </xf>
    <xf numFmtId="2" fontId="37" fillId="30" borderId="11" xfId="45" applyNumberFormat="1" applyFont="1" applyFill="1" applyBorder="1" applyAlignment="1">
      <alignment vertical="top"/>
    </xf>
    <xf numFmtId="0" fontId="37" fillId="30" borderId="11" xfId="45" applyFont="1" applyFill="1" applyBorder="1" applyAlignment="1">
      <alignment vertical="top"/>
    </xf>
    <xf numFmtId="14" fontId="45" fillId="30" borderId="43" xfId="45" applyNumberFormat="1" applyFont="1" applyFill="1" applyBorder="1" applyAlignment="1">
      <alignment vertical="top"/>
    </xf>
    <xf numFmtId="14" fontId="39" fillId="24" borderId="12" xfId="45" applyNumberFormat="1" applyFont="1" applyFill="1" applyBorder="1" applyAlignment="1">
      <alignment horizontal="left" vertical="top"/>
    </xf>
    <xf numFmtId="2" fontId="37" fillId="30" borderId="13" xfId="45" applyNumberFormat="1" applyFont="1" applyFill="1" applyBorder="1" applyAlignment="1">
      <alignment horizontal="left" vertical="top"/>
    </xf>
    <xf numFmtId="0" fontId="37" fillId="30" borderId="14" xfId="45" applyFont="1" applyFill="1" applyBorder="1" applyAlignment="1">
      <alignment vertical="top"/>
    </xf>
    <xf numFmtId="0" fontId="45" fillId="30" borderId="25" xfId="45" applyFont="1" applyFill="1" applyBorder="1" applyAlignment="1">
      <alignment horizontal="left"/>
    </xf>
    <xf numFmtId="14" fontId="39" fillId="24" borderId="24" xfId="45" applyNumberFormat="1" applyFont="1" applyFill="1" applyBorder="1" applyAlignment="1">
      <alignment horizontal="left" vertical="top"/>
    </xf>
    <xf numFmtId="49" fontId="39" fillId="0" borderId="12" xfId="45" applyNumberFormat="1" applyFont="1" applyBorder="1" applyAlignment="1">
      <alignment horizontal="center" vertical="top" wrapText="1"/>
    </xf>
    <xf numFmtId="0" fontId="38" fillId="0" borderId="0" xfId="45" applyFont="1" applyBorder="1" applyAlignment="1">
      <alignment horizontal="left" vertical="top" wrapText="1"/>
    </xf>
    <xf numFmtId="0" fontId="38" fillId="0" borderId="0" xfId="45" applyFont="1" applyBorder="1" applyAlignment="1">
      <alignment vertical="top" wrapText="1"/>
    </xf>
    <xf numFmtId="166" fontId="38" fillId="24" borderId="24" xfId="45" applyNumberFormat="1" applyFont="1" applyFill="1" applyBorder="1" applyAlignment="1" applyProtection="1">
      <alignment horizontal="left" vertical="top"/>
    </xf>
    <xf numFmtId="0" fontId="37" fillId="30" borderId="13" xfId="45" applyFont="1" applyFill="1" applyBorder="1" applyAlignment="1">
      <alignment vertical="top"/>
    </xf>
    <xf numFmtId="0" fontId="37" fillId="30" borderId="14" xfId="45" applyFont="1" applyFill="1" applyBorder="1" applyAlignment="1">
      <alignment vertical="top" wrapText="1"/>
    </xf>
    <xf numFmtId="164" fontId="37" fillId="30" borderId="25" xfId="45" applyNumberFormat="1" applyFont="1" applyFill="1" applyBorder="1" applyAlignment="1">
      <alignment vertical="top"/>
    </xf>
    <xf numFmtId="0" fontId="39" fillId="0" borderId="12" xfId="45" applyFont="1" applyBorder="1"/>
    <xf numFmtId="0" fontId="46" fillId="0" borderId="0" xfId="45" applyFont="1" applyBorder="1"/>
    <xf numFmtId="0" fontId="39" fillId="0" borderId="0" xfId="45" applyFont="1" applyBorder="1"/>
    <xf numFmtId="0" fontId="39" fillId="0" borderId="24" xfId="45" applyFont="1" applyBorder="1"/>
    <xf numFmtId="0" fontId="39" fillId="0" borderId="13" xfId="45" applyFont="1" applyBorder="1"/>
    <xf numFmtId="0" fontId="47" fillId="0" borderId="14" xfId="45" applyFont="1" applyBorder="1" applyAlignment="1"/>
    <xf numFmtId="0" fontId="39" fillId="0" borderId="14" xfId="45" applyFont="1" applyBorder="1"/>
    <xf numFmtId="0" fontId="39" fillId="0" borderId="25" xfId="45" applyFont="1" applyBorder="1"/>
    <xf numFmtId="2" fontId="27" fillId="24" borderId="11" xfId="45" applyNumberFormat="1" applyFont="1" applyFill="1" applyBorder="1" applyAlignment="1">
      <alignment horizontal="left" vertical="top"/>
    </xf>
    <xf numFmtId="2" fontId="27" fillId="24" borderId="0" xfId="45" applyNumberFormat="1" applyFont="1" applyFill="1" applyBorder="1" applyAlignment="1">
      <alignment horizontal="left" vertical="top"/>
    </xf>
    <xf numFmtId="2" fontId="29" fillId="24" borderId="0" xfId="54" applyNumberFormat="1" applyFill="1" applyBorder="1" applyAlignment="1">
      <alignment horizontal="center" vertical="top"/>
    </xf>
    <xf numFmtId="2" fontId="5" fillId="24" borderId="11" xfId="45" applyNumberFormat="1" applyFont="1" applyFill="1" applyBorder="1" applyAlignment="1">
      <alignment vertical="top"/>
    </xf>
    <xf numFmtId="2" fontId="5" fillId="24" borderId="43" xfId="45" applyNumberFormat="1" applyFont="1" applyFill="1" applyBorder="1" applyAlignment="1">
      <alignment vertical="top"/>
    </xf>
    <xf numFmtId="0" fontId="26" fillId="0" borderId="0" xfId="45" applyFont="1" applyFill="1" applyBorder="1" applyAlignment="1">
      <alignment vertical="top"/>
    </xf>
    <xf numFmtId="14" fontId="36" fillId="24" borderId="24" xfId="45" applyNumberFormat="1" applyFont="1" applyFill="1" applyBorder="1" applyAlignment="1">
      <alignment horizontal="left" vertical="top"/>
    </xf>
    <xf numFmtId="2" fontId="27" fillId="24" borderId="14" xfId="45" applyNumberFormat="1" applyFont="1" applyFill="1" applyBorder="1" applyAlignment="1">
      <alignment horizontal="left" vertical="top"/>
    </xf>
    <xf numFmtId="2" fontId="29" fillId="24" borderId="25" xfId="54" applyNumberFormat="1" applyFill="1" applyBorder="1" applyAlignment="1">
      <alignment horizontal="center" vertical="top"/>
    </xf>
    <xf numFmtId="49" fontId="39" fillId="0" borderId="0" xfId="45" applyNumberFormat="1" applyFont="1" applyBorder="1" applyAlignment="1">
      <alignment horizontal="center" vertical="top"/>
    </xf>
    <xf numFmtId="2" fontId="38" fillId="0" borderId="0" xfId="45" applyNumberFormat="1" applyFont="1" applyBorder="1" applyAlignment="1">
      <alignment horizontal="left" vertical="top"/>
    </xf>
    <xf numFmtId="0" fontId="38" fillId="0" borderId="0" xfId="45" applyFont="1" applyBorder="1" applyAlignment="1">
      <alignment vertical="top"/>
    </xf>
    <xf numFmtId="166" fontId="38" fillId="24" borderId="0" xfId="45" applyNumberFormat="1" applyFont="1" applyFill="1" applyBorder="1" applyAlignment="1" applyProtection="1">
      <alignment horizontal="left" vertical="top"/>
    </xf>
    <xf numFmtId="0" fontId="38" fillId="24" borderId="40" xfId="45" applyFont="1" applyFill="1" applyBorder="1" applyAlignment="1">
      <alignment horizontal="left" vertical="top"/>
    </xf>
    <xf numFmtId="0" fontId="38" fillId="24" borderId="11" xfId="45" applyFont="1" applyFill="1" applyBorder="1" applyAlignment="1">
      <alignment horizontal="left" vertical="top"/>
    </xf>
    <xf numFmtId="2" fontId="44" fillId="24" borderId="11" xfId="45" applyNumberFormat="1" applyFont="1" applyFill="1" applyBorder="1" applyAlignment="1">
      <alignment horizontal="right" vertical="top"/>
    </xf>
    <xf numFmtId="0" fontId="38" fillId="24" borderId="43" xfId="45" applyFont="1" applyFill="1" applyBorder="1" applyAlignment="1">
      <alignment horizontal="left" vertical="top"/>
    </xf>
    <xf numFmtId="2" fontId="34" fillId="0" borderId="10" xfId="0" applyNumberFormat="1" applyFont="1" applyFill="1" applyBorder="1" applyAlignment="1">
      <alignment horizontal="left" vertical="top" wrapText="1"/>
    </xf>
    <xf numFmtId="41" fontId="26" fillId="0" borderId="32" xfId="0" applyNumberFormat="1" applyFont="1" applyFill="1" applyBorder="1" applyAlignment="1">
      <alignment horizontal="center" vertical="top"/>
    </xf>
    <xf numFmtId="165" fontId="26" fillId="0" borderId="36" xfId="55" applyNumberFormat="1" applyFont="1" applyFill="1" applyBorder="1" applyAlignment="1">
      <alignment horizontal="center" vertical="top"/>
    </xf>
    <xf numFmtId="44" fontId="26" fillId="0" borderId="32" xfId="0" applyNumberFormat="1" applyFont="1" applyFill="1" applyBorder="1" applyAlignment="1" applyProtection="1">
      <alignment horizontal="center" vertical="top"/>
    </xf>
    <xf numFmtId="0" fontId="26" fillId="24" borderId="44" xfId="0" applyFont="1" applyFill="1" applyBorder="1" applyAlignment="1" applyProtection="1">
      <alignment horizontal="center" vertical="top" wrapText="1"/>
    </xf>
    <xf numFmtId="1" fontId="26" fillId="0" borderId="15" xfId="0" applyNumberFormat="1" applyFont="1" applyFill="1" applyBorder="1" applyAlignment="1" applyProtection="1">
      <alignment horizontal="right" vertical="top"/>
    </xf>
    <xf numFmtId="1" fontId="26" fillId="24" borderId="31" xfId="0" applyNumberFormat="1" applyFont="1" applyFill="1" applyBorder="1" applyAlignment="1" applyProtection="1">
      <alignment horizontal="center" vertical="top"/>
    </xf>
    <xf numFmtId="44" fontId="26" fillId="24" borderId="17" xfId="55" applyNumberFormat="1" applyFont="1" applyFill="1" applyBorder="1" applyAlignment="1" applyProtection="1">
      <alignment horizontal="center" vertical="top"/>
    </xf>
    <xf numFmtId="165" fontId="26" fillId="0" borderId="34" xfId="45" applyNumberFormat="1" applyFont="1" applyFill="1" applyBorder="1" applyAlignment="1">
      <alignment horizontal="center" vertical="top"/>
    </xf>
    <xf numFmtId="166" fontId="27" fillId="24" borderId="24" xfId="45" applyNumberFormat="1" applyFont="1" applyFill="1" applyBorder="1" applyAlignment="1" applyProtection="1">
      <alignment horizontal="center" vertical="top"/>
    </xf>
    <xf numFmtId="0" fontId="26" fillId="24" borderId="29" xfId="0" applyFont="1" applyFill="1" applyBorder="1" applyAlignment="1" applyProtection="1">
      <alignment horizontal="center" vertical="top" wrapText="1"/>
    </xf>
    <xf numFmtId="2" fontId="34" fillId="24" borderId="15" xfId="0" applyNumberFormat="1" applyFont="1" applyFill="1" applyBorder="1" applyAlignment="1">
      <alignment horizontal="left" vertical="top" wrapText="1"/>
    </xf>
    <xf numFmtId="41" fontId="26" fillId="0" borderId="15" xfId="0" applyNumberFormat="1" applyFont="1" applyFill="1" applyBorder="1" applyAlignment="1">
      <alignment horizontal="center" vertical="top"/>
    </xf>
    <xf numFmtId="44" fontId="26" fillId="24" borderId="31" xfId="55" applyNumberFormat="1" applyFont="1" applyFill="1" applyBorder="1" applyAlignment="1" applyProtection="1">
      <alignment horizontal="center" vertical="top"/>
    </xf>
    <xf numFmtId="165" fontId="26" fillId="0" borderId="23" xfId="45" applyNumberFormat="1" applyFont="1" applyFill="1" applyBorder="1" applyAlignment="1">
      <alignment horizontal="center" vertical="top"/>
    </xf>
    <xf numFmtId="1" fontId="26" fillId="0" borderId="10" xfId="0" applyNumberFormat="1" applyFont="1" applyFill="1" applyBorder="1" applyAlignment="1" applyProtection="1">
      <alignment horizontal="center" vertical="top"/>
    </xf>
    <xf numFmtId="2" fontId="26" fillId="0" borderId="15" xfId="0" applyNumberFormat="1" applyFont="1" applyFill="1" applyBorder="1" applyAlignment="1">
      <alignment horizontal="left" vertical="top" wrapText="1"/>
    </xf>
    <xf numFmtId="1" fontId="26" fillId="0" borderId="10" xfId="0" applyNumberFormat="1" applyFont="1" applyFill="1" applyBorder="1" applyAlignment="1" applyProtection="1">
      <alignment horizontal="right" vertical="top"/>
    </xf>
    <xf numFmtId="2" fontId="26" fillId="0" borderId="10" xfId="0" applyNumberFormat="1" applyFont="1" applyFill="1" applyBorder="1" applyAlignment="1">
      <alignment horizontal="right" vertical="top" wrapText="1"/>
    </xf>
    <xf numFmtId="1" fontId="26" fillId="0" borderId="10" xfId="0" applyNumberFormat="1" applyFont="1" applyFill="1" applyBorder="1" applyAlignment="1">
      <alignment vertical="top"/>
    </xf>
    <xf numFmtId="9" fontId="26" fillId="24" borderId="10" xfId="0" applyNumberFormat="1" applyFont="1" applyFill="1" applyBorder="1" applyAlignment="1">
      <alignment vertical="top"/>
    </xf>
    <xf numFmtId="168" fontId="26" fillId="24" borderId="10" xfId="0" applyNumberFormat="1" applyFont="1" applyFill="1" applyBorder="1" applyAlignment="1">
      <alignment horizontal="center" vertical="top"/>
    </xf>
    <xf numFmtId="0" fontId="26" fillId="24" borderId="31" xfId="0" applyFont="1" applyFill="1" applyBorder="1" applyAlignment="1" applyProtection="1">
      <alignment horizontal="center" vertical="top" wrapText="1"/>
    </xf>
    <xf numFmtId="0" fontId="26" fillId="31" borderId="27" xfId="0" applyFont="1" applyFill="1" applyBorder="1" applyAlignment="1" applyProtection="1">
      <alignment horizontal="center" vertical="top" wrapText="1"/>
    </xf>
    <xf numFmtId="2" fontId="27" fillId="31" borderId="18" xfId="0" applyNumberFormat="1" applyFont="1" applyFill="1" applyBorder="1" applyAlignment="1">
      <alignment horizontal="left" vertical="top" wrapText="1"/>
    </xf>
    <xf numFmtId="1" fontId="26" fillId="31" borderId="28" xfId="0" applyNumberFormat="1" applyFont="1" applyFill="1" applyBorder="1" applyAlignment="1">
      <alignment horizontal="center" vertical="top"/>
    </xf>
    <xf numFmtId="9" fontId="26" fillId="0" borderId="29" xfId="0" applyNumberFormat="1" applyFont="1" applyFill="1" applyBorder="1" applyAlignment="1">
      <alignment horizontal="center" vertical="top"/>
    </xf>
    <xf numFmtId="41" fontId="26" fillId="0" borderId="45" xfId="0" applyNumberFormat="1" applyFont="1" applyFill="1" applyBorder="1" applyAlignment="1">
      <alignment horizontal="center" vertical="top"/>
    </xf>
    <xf numFmtId="0" fontId="26" fillId="0" borderId="45" xfId="0" applyFont="1" applyFill="1" applyBorder="1" applyAlignment="1">
      <alignment horizontal="center" vertical="top"/>
    </xf>
    <xf numFmtId="44" fontId="26" fillId="0" borderId="45" xfId="55" applyNumberFormat="1" applyFont="1" applyFill="1" applyBorder="1" applyAlignment="1">
      <alignment horizontal="center" vertical="top"/>
    </xf>
    <xf numFmtId="166" fontId="27" fillId="0" borderId="24" xfId="0" applyNumberFormat="1" applyFont="1" applyFill="1" applyBorder="1" applyAlignment="1" applyProtection="1">
      <alignment horizontal="center" vertical="top"/>
    </xf>
    <xf numFmtId="44" fontId="26" fillId="0" borderId="46" xfId="55" applyNumberFormat="1" applyFont="1" applyFill="1" applyBorder="1" applyAlignment="1">
      <alignment horizontal="center" vertical="top"/>
    </xf>
    <xf numFmtId="166" fontId="27" fillId="0" borderId="47" xfId="0" applyNumberFormat="1" applyFont="1" applyFill="1" applyBorder="1" applyAlignment="1" applyProtection="1">
      <alignment horizontal="center" vertical="top"/>
    </xf>
    <xf numFmtId="44" fontId="26" fillId="0" borderId="10" xfId="55" applyNumberFormat="1" applyFont="1" applyFill="1" applyBorder="1" applyAlignment="1">
      <alignment horizontal="center" vertical="top"/>
    </xf>
    <xf numFmtId="166" fontId="27" fillId="0" borderId="48" xfId="0" applyNumberFormat="1" applyFont="1" applyFill="1" applyBorder="1" applyAlignment="1" applyProtection="1">
      <alignment horizontal="center" vertical="top"/>
    </xf>
    <xf numFmtId="9" fontId="26" fillId="0" borderId="26" xfId="0" applyNumberFormat="1" applyFont="1" applyFill="1" applyBorder="1" applyAlignment="1">
      <alignment horizontal="center" vertical="top"/>
    </xf>
    <xf numFmtId="9" fontId="26" fillId="24" borderId="15" xfId="58" applyFont="1" applyFill="1" applyBorder="1" applyAlignment="1" applyProtection="1">
      <alignment horizontal="center" vertical="top"/>
    </xf>
    <xf numFmtId="41" fontId="26" fillId="0" borderId="15" xfId="45" applyNumberFormat="1" applyFont="1" applyBorder="1" applyAlignment="1">
      <alignment horizontal="center" vertical="top"/>
    </xf>
    <xf numFmtId="0" fontId="26" fillId="0" borderId="15" xfId="45" applyFont="1" applyBorder="1" applyAlignment="1">
      <alignment horizontal="center" vertical="top"/>
    </xf>
    <xf numFmtId="44" fontId="26" fillId="24" borderId="15" xfId="55" applyNumberFormat="1" applyFont="1" applyFill="1" applyBorder="1" applyAlignment="1" applyProtection="1">
      <alignment horizontal="center" vertical="top"/>
    </xf>
    <xf numFmtId="9" fontId="26" fillId="0" borderId="37" xfId="0" applyNumberFormat="1" applyFont="1" applyFill="1" applyBorder="1" applyAlignment="1">
      <alignment horizontal="center" vertical="top"/>
    </xf>
    <xf numFmtId="41" fontId="26" fillId="0" borderId="46" xfId="0" applyNumberFormat="1" applyFont="1" applyFill="1" applyBorder="1" applyAlignment="1">
      <alignment horizontal="center" vertical="top"/>
    </xf>
    <xf numFmtId="0" fontId="26" fillId="0" borderId="46" xfId="0" applyFont="1" applyFill="1" applyBorder="1" applyAlignment="1">
      <alignment horizontal="center" vertical="top"/>
    </xf>
    <xf numFmtId="44" fontId="26" fillId="0" borderId="15" xfId="55" applyNumberFormat="1" applyFont="1" applyFill="1" applyBorder="1" applyAlignment="1">
      <alignment horizontal="center" vertical="top"/>
    </xf>
    <xf numFmtId="166" fontId="27" fillId="0" borderId="39" xfId="0" applyNumberFormat="1" applyFont="1" applyFill="1" applyBorder="1" applyAlignment="1" applyProtection="1">
      <alignment horizontal="center" vertical="top"/>
    </xf>
    <xf numFmtId="2" fontId="48" fillId="24" borderId="50" xfId="45" applyNumberFormat="1" applyFont="1" applyFill="1" applyBorder="1" applyAlignment="1">
      <alignment horizontal="left" vertical="top"/>
    </xf>
    <xf numFmtId="2" fontId="49" fillId="24" borderId="11" xfId="59" applyNumberFormat="1" applyFont="1" applyFill="1" applyBorder="1" applyAlignment="1">
      <alignment horizontal="left" vertical="top"/>
    </xf>
    <xf numFmtId="1" fontId="50" fillId="24" borderId="11" xfId="45" applyNumberFormat="1" applyFont="1" applyFill="1" applyBorder="1" applyAlignment="1">
      <alignment horizontal="left" vertical="top"/>
    </xf>
    <xf numFmtId="2" fontId="51" fillId="24" borderId="11" xfId="45" applyNumberFormat="1" applyFont="1" applyFill="1" applyBorder="1" applyAlignment="1">
      <alignment horizontal="center" vertical="top"/>
    </xf>
    <xf numFmtId="0" fontId="26" fillId="0" borderId="0" xfId="45" applyFont="1" applyAlignment="1">
      <alignment vertical="top"/>
    </xf>
    <xf numFmtId="2" fontId="48" fillId="24" borderId="21" xfId="45" applyNumberFormat="1" applyFont="1" applyFill="1" applyBorder="1" applyAlignment="1">
      <alignment horizontal="left" vertical="top"/>
    </xf>
    <xf numFmtId="2" fontId="50" fillId="24" borderId="0" xfId="59" applyNumberFormat="1" applyFont="1" applyFill="1" applyBorder="1" applyAlignment="1">
      <alignment horizontal="left" vertical="top"/>
    </xf>
    <xf numFmtId="1" fontId="50" fillId="24" borderId="0" xfId="45" applyNumberFormat="1" applyFont="1" applyFill="1" applyBorder="1" applyAlignment="1">
      <alignment horizontal="left" vertical="top"/>
    </xf>
    <xf numFmtId="2" fontId="51" fillId="24" borderId="0" xfId="45" applyNumberFormat="1" applyFont="1" applyFill="1" applyBorder="1" applyAlignment="1">
      <alignment horizontal="center" vertical="top"/>
    </xf>
    <xf numFmtId="2" fontId="52" fillId="24" borderId="0" xfId="45" applyNumberFormat="1" applyFont="1" applyFill="1" applyBorder="1" applyAlignment="1">
      <alignment vertical="top"/>
    </xf>
    <xf numFmtId="0" fontId="26" fillId="24" borderId="0" xfId="45" applyFont="1" applyFill="1" applyBorder="1" applyAlignment="1">
      <alignment vertical="top"/>
    </xf>
    <xf numFmtId="0" fontId="26" fillId="24" borderId="21" xfId="45" applyFont="1" applyFill="1" applyBorder="1" applyAlignment="1">
      <alignment horizontal="left" vertical="top"/>
    </xf>
    <xf numFmtId="2" fontId="50" fillId="24" borderId="0" xfId="45" applyNumberFormat="1" applyFont="1" applyFill="1" applyBorder="1" applyAlignment="1">
      <alignment vertical="top"/>
    </xf>
    <xf numFmtId="2" fontId="53" fillId="24" borderId="0" xfId="45" applyNumberFormat="1" applyFont="1" applyFill="1" applyBorder="1" applyAlignment="1">
      <alignment horizontal="left" vertical="top"/>
    </xf>
    <xf numFmtId="0" fontId="29" fillId="24" borderId="14" xfId="54" applyFill="1" applyBorder="1" applyAlignment="1">
      <alignment horizontal="center" vertical="top"/>
    </xf>
    <xf numFmtId="0" fontId="30" fillId="0" borderId="0" xfId="45" applyFont="1" applyAlignment="1">
      <alignment horizontal="center" vertical="top" wrapText="1"/>
    </xf>
    <xf numFmtId="0" fontId="26" fillId="0" borderId="41" xfId="45" applyFont="1" applyFill="1" applyBorder="1" applyAlignment="1">
      <alignment horizontal="center" vertical="top"/>
    </xf>
    <xf numFmtId="2" fontId="54" fillId="0" borderId="10" xfId="45" applyNumberFormat="1" applyFont="1" applyBorder="1" applyAlignment="1">
      <alignment horizontal="left" vertical="top" wrapText="1"/>
    </xf>
    <xf numFmtId="0" fontId="51" fillId="24" borderId="10" xfId="45" applyFont="1" applyFill="1" applyBorder="1" applyAlignment="1">
      <alignment horizontal="center" vertical="top"/>
    </xf>
    <xf numFmtId="167" fontId="51" fillId="24" borderId="10" xfId="45" applyNumberFormat="1" applyFont="1" applyFill="1" applyBorder="1" applyAlignment="1">
      <alignment horizontal="center" vertical="top"/>
    </xf>
    <xf numFmtId="2" fontId="51" fillId="0" borderId="10" xfId="45" applyNumberFormat="1" applyFont="1" applyBorder="1" applyAlignment="1">
      <alignment horizontal="left" vertical="top" wrapText="1"/>
    </xf>
    <xf numFmtId="166" fontId="51" fillId="24" borderId="34" xfId="45" applyNumberFormat="1" applyFont="1" applyFill="1" applyBorder="1" applyAlignment="1">
      <alignment horizontal="center" vertical="top"/>
    </xf>
    <xf numFmtId="2" fontId="51" fillId="0" borderId="10" xfId="45" applyNumberFormat="1" applyFont="1" applyFill="1" applyBorder="1" applyAlignment="1">
      <alignment horizontal="left" vertical="top" wrapText="1"/>
    </xf>
    <xf numFmtId="0" fontId="51" fillId="0" borderId="10" xfId="45" applyFont="1" applyBorder="1" applyAlignment="1">
      <alignment horizontal="center" vertical="top"/>
    </xf>
    <xf numFmtId="166" fontId="51" fillId="24" borderId="10" xfId="45" applyNumberFormat="1" applyFont="1" applyFill="1" applyBorder="1" applyAlignment="1">
      <alignment horizontal="center" vertical="top"/>
    </xf>
    <xf numFmtId="166" fontId="51" fillId="24" borderId="49" xfId="45" applyNumberFormat="1" applyFont="1" applyFill="1" applyBorder="1" applyAlignment="1">
      <alignment horizontal="center" vertical="top"/>
    </xf>
    <xf numFmtId="0" fontId="51" fillId="24" borderId="10" xfId="45" applyNumberFormat="1" applyFont="1" applyFill="1" applyBorder="1" applyAlignment="1">
      <alignment horizontal="center" vertical="top"/>
    </xf>
    <xf numFmtId="0" fontId="51" fillId="0" borderId="10" xfId="45" applyNumberFormat="1" applyFont="1" applyFill="1" applyBorder="1" applyAlignment="1">
      <alignment horizontal="center" vertical="top"/>
    </xf>
    <xf numFmtId="2" fontId="51" fillId="0" borderId="32" xfId="45" applyNumberFormat="1" applyFont="1" applyBorder="1" applyAlignment="1">
      <alignment horizontal="left" vertical="top" wrapText="1"/>
    </xf>
    <xf numFmtId="0" fontId="51" fillId="24" borderId="32" xfId="45" applyNumberFormat="1" applyFont="1" applyFill="1" applyBorder="1" applyAlignment="1">
      <alignment horizontal="center" vertical="top"/>
    </xf>
    <xf numFmtId="0" fontId="51" fillId="24" borderId="32" xfId="45" applyFont="1" applyFill="1" applyBorder="1" applyAlignment="1">
      <alignment horizontal="center" vertical="top"/>
    </xf>
    <xf numFmtId="167" fontId="51" fillId="24" borderId="32" xfId="45" applyNumberFormat="1" applyFont="1" applyFill="1" applyBorder="1" applyAlignment="1">
      <alignment horizontal="center" vertical="top"/>
    </xf>
    <xf numFmtId="166" fontId="51" fillId="24" borderId="32" xfId="45" applyNumberFormat="1" applyFont="1" applyFill="1" applyBorder="1" applyAlignment="1">
      <alignment horizontal="center" vertical="top"/>
    </xf>
    <xf numFmtId="166" fontId="51" fillId="24" borderId="36" xfId="45" applyNumberFormat="1" applyFont="1" applyFill="1" applyBorder="1" applyAlignment="1">
      <alignment horizontal="center" vertical="top"/>
    </xf>
    <xf numFmtId="0" fontId="51" fillId="33" borderId="18" xfId="45" applyNumberFormat="1" applyFont="1" applyFill="1" applyBorder="1" applyAlignment="1">
      <alignment horizontal="center" vertical="top"/>
    </xf>
    <xf numFmtId="0" fontId="51" fillId="33" borderId="18" xfId="45" applyFont="1" applyFill="1" applyBorder="1" applyAlignment="1">
      <alignment horizontal="center" vertical="top"/>
    </xf>
    <xf numFmtId="167" fontId="51" fillId="33" borderId="18" xfId="45" applyNumberFormat="1" applyFont="1" applyFill="1" applyBorder="1" applyAlignment="1">
      <alignment horizontal="center" vertical="top"/>
    </xf>
    <xf numFmtId="166" fontId="51" fillId="33" borderId="18" xfId="45" applyNumberFormat="1" applyFont="1" applyFill="1" applyBorder="1" applyAlignment="1">
      <alignment horizontal="center" vertical="top"/>
    </xf>
    <xf numFmtId="166" fontId="51" fillId="33" borderId="28" xfId="45" applyNumberFormat="1" applyFont="1" applyFill="1" applyBorder="1" applyAlignment="1">
      <alignment horizontal="center" vertical="top"/>
    </xf>
    <xf numFmtId="2" fontId="54" fillId="0" borderId="15" xfId="45" applyNumberFormat="1" applyFont="1" applyBorder="1" applyAlignment="1">
      <alignment horizontal="left" vertical="top"/>
    </xf>
    <xf numFmtId="0" fontId="51" fillId="0" borderId="15" xfId="45" applyNumberFormat="1" applyFont="1" applyFill="1" applyBorder="1" applyAlignment="1">
      <alignment horizontal="center" vertical="top"/>
    </xf>
    <xf numFmtId="0" fontId="51" fillId="24" borderId="15" xfId="45" applyFont="1" applyFill="1" applyBorder="1" applyAlignment="1">
      <alignment horizontal="center" vertical="top"/>
    </xf>
    <xf numFmtId="167" fontId="51" fillId="24" borderId="15" xfId="45" applyNumberFormat="1" applyFont="1" applyFill="1" applyBorder="1" applyAlignment="1">
      <alignment horizontal="center" vertical="top"/>
    </xf>
    <xf numFmtId="166" fontId="51" fillId="24" borderId="23" xfId="45" applyNumberFormat="1" applyFont="1" applyFill="1" applyBorder="1" applyAlignment="1">
      <alignment horizontal="center" vertical="top"/>
    </xf>
    <xf numFmtId="2" fontId="54" fillId="0" borderId="10" xfId="45" applyNumberFormat="1" applyFont="1" applyBorder="1" applyAlignment="1">
      <alignment horizontal="left" vertical="top"/>
    </xf>
    <xf numFmtId="2" fontId="55" fillId="0" borderId="10" xfId="45" applyNumberFormat="1" applyFont="1" applyBorder="1" applyAlignment="1">
      <alignment horizontal="left" vertical="top" wrapText="1"/>
    </xf>
    <xf numFmtId="1" fontId="51" fillId="24" borderId="10" xfId="45" applyNumberFormat="1" applyFont="1" applyFill="1" applyBorder="1" applyAlignment="1">
      <alignment horizontal="center" vertical="top"/>
    </xf>
    <xf numFmtId="2" fontId="56" fillId="0" borderId="10" xfId="45" applyNumberFormat="1" applyFont="1" applyBorder="1" applyAlignment="1">
      <alignment horizontal="left" vertical="top" wrapText="1"/>
    </xf>
    <xf numFmtId="167" fontId="50" fillId="24" borderId="10" xfId="45" applyNumberFormat="1" applyFont="1" applyFill="1" applyBorder="1" applyAlignment="1">
      <alignment horizontal="center" vertical="center"/>
    </xf>
    <xf numFmtId="166" fontId="51" fillId="24" borderId="32" xfId="45" applyNumberFormat="1" applyFont="1" applyFill="1" applyBorder="1" applyAlignment="1">
      <alignment vertical="top"/>
    </xf>
    <xf numFmtId="166" fontId="51" fillId="24" borderId="10" xfId="45" applyNumberFormat="1" applyFont="1" applyFill="1" applyBorder="1" applyAlignment="1">
      <alignment vertical="top"/>
    </xf>
    <xf numFmtId="1" fontId="51" fillId="24" borderId="32" xfId="45" applyNumberFormat="1" applyFont="1" applyFill="1" applyBorder="1" applyAlignment="1">
      <alignment horizontal="center" vertical="top"/>
    </xf>
    <xf numFmtId="167" fontId="51" fillId="24" borderId="51" xfId="45" applyNumberFormat="1" applyFont="1" applyFill="1" applyBorder="1" applyAlignment="1">
      <alignment horizontal="center" vertical="top"/>
    </xf>
    <xf numFmtId="167" fontId="50" fillId="32" borderId="27" xfId="45" applyNumberFormat="1" applyFont="1" applyFill="1" applyBorder="1" applyAlignment="1">
      <alignment horizontal="center" vertical="top"/>
    </xf>
    <xf numFmtId="165" fontId="51" fillId="24" borderId="0" xfId="45" applyNumberFormat="1" applyFont="1" applyFill="1" applyBorder="1" applyAlignment="1">
      <alignment vertical="top"/>
    </xf>
    <xf numFmtId="0" fontId="26" fillId="0" borderId="52" xfId="45" applyFont="1" applyFill="1" applyBorder="1" applyAlignment="1">
      <alignment horizontal="center" vertical="top"/>
    </xf>
    <xf numFmtId="2" fontId="51" fillId="0" borderId="16" xfId="45" applyNumberFormat="1" applyFont="1" applyBorder="1" applyAlignment="1">
      <alignment horizontal="left" vertical="top" wrapText="1"/>
    </xf>
    <xf numFmtId="1" fontId="51" fillId="24" borderId="16" xfId="45" applyNumberFormat="1" applyFont="1" applyFill="1" applyBorder="1" applyAlignment="1">
      <alignment horizontal="center" vertical="top"/>
    </xf>
    <xf numFmtId="0" fontId="51" fillId="24" borderId="16" xfId="45" applyFont="1" applyFill="1" applyBorder="1" applyAlignment="1">
      <alignment horizontal="center" vertical="top"/>
    </xf>
    <xf numFmtId="167" fontId="51" fillId="24" borderId="16" xfId="45" applyNumberFormat="1" applyFont="1" applyFill="1" applyBorder="1" applyAlignment="1">
      <alignment horizontal="center" vertical="top"/>
    </xf>
    <xf numFmtId="167" fontId="51" fillId="24" borderId="19" xfId="45" applyNumberFormat="1" applyFont="1" applyFill="1" applyBorder="1" applyAlignment="1">
      <alignment horizontal="center" vertical="top"/>
    </xf>
    <xf numFmtId="166" fontId="51" fillId="24" borderId="19" xfId="45" applyNumberFormat="1" applyFont="1" applyFill="1" applyBorder="1" applyAlignment="1">
      <alignment vertical="top"/>
    </xf>
    <xf numFmtId="166" fontId="51" fillId="24" borderId="16" xfId="45" applyNumberFormat="1" applyFont="1" applyFill="1" applyBorder="1" applyAlignment="1">
      <alignment vertical="top"/>
    </xf>
    <xf numFmtId="166" fontId="51" fillId="24" borderId="38" xfId="45" applyNumberFormat="1" applyFont="1" applyFill="1" applyBorder="1" applyAlignment="1">
      <alignment horizontal="center" vertical="top"/>
    </xf>
    <xf numFmtId="0" fontId="26" fillId="0" borderId="12" xfId="45" applyFont="1" applyBorder="1" applyAlignment="1">
      <alignment horizontal="center" vertical="top"/>
    </xf>
    <xf numFmtId="2" fontId="26" fillId="0" borderId="0" xfId="45" applyNumberFormat="1" applyFont="1" applyAlignment="1">
      <alignment vertical="top" wrapText="1"/>
    </xf>
    <xf numFmtId="1" fontId="26" fillId="0" borderId="0" xfId="45" applyNumberFormat="1" applyFont="1" applyAlignment="1">
      <alignment horizontal="center" vertical="top" wrapText="1"/>
    </xf>
    <xf numFmtId="0" fontId="26" fillId="0" borderId="0" xfId="45" applyFont="1" applyAlignment="1">
      <alignment horizontal="center" vertical="top"/>
    </xf>
    <xf numFmtId="164" fontId="26" fillId="0" borderId="0" xfId="45" applyNumberFormat="1" applyFont="1" applyAlignment="1">
      <alignment horizontal="center" vertical="top"/>
    </xf>
    <xf numFmtId="164" fontId="26" fillId="0" borderId="0" xfId="45" applyNumberFormat="1" applyFont="1" applyAlignment="1">
      <alignment vertical="top"/>
    </xf>
    <xf numFmtId="169" fontId="50" fillId="32" borderId="28" xfId="63" applyNumberFormat="1" applyFont="1" applyFill="1" applyBorder="1" applyAlignment="1">
      <alignment horizontal="center" vertical="top"/>
    </xf>
    <xf numFmtId="0" fontId="26" fillId="24" borderId="10" xfId="45" applyFont="1" applyFill="1" applyBorder="1" applyAlignment="1" applyProtection="1">
      <alignment horizontal="center" vertical="top"/>
    </xf>
    <xf numFmtId="2" fontId="27" fillId="31" borderId="18" xfId="0" applyNumberFormat="1" applyFont="1" applyFill="1" applyBorder="1" applyAlignment="1">
      <alignment vertical="top" wrapText="1"/>
    </xf>
    <xf numFmtId="0" fontId="26" fillId="31" borderId="18" xfId="0" applyFont="1" applyFill="1" applyBorder="1" applyAlignment="1">
      <alignment vertical="top"/>
    </xf>
    <xf numFmtId="0" fontId="26" fillId="31" borderId="28" xfId="0" applyFont="1" applyFill="1" applyBorder="1" applyAlignment="1">
      <alignment vertical="top"/>
    </xf>
    <xf numFmtId="165" fontId="26" fillId="0" borderId="15" xfId="55" applyNumberFormat="1" applyFont="1" applyFill="1" applyBorder="1" applyAlignment="1">
      <alignment horizontal="center" vertical="top"/>
    </xf>
    <xf numFmtId="166" fontId="27" fillId="0" borderId="39" xfId="45" applyNumberFormat="1" applyFont="1" applyFill="1" applyBorder="1" applyAlignment="1" applyProtection="1">
      <alignment horizontal="center" vertical="top"/>
    </xf>
    <xf numFmtId="41" fontId="26" fillId="0" borderId="53" xfId="45" applyNumberFormat="1" applyFont="1" applyFill="1" applyBorder="1" applyAlignment="1">
      <alignment horizontal="center" vertical="top"/>
    </xf>
    <xf numFmtId="0" fontId="26" fillId="0" borderId="15" xfId="45" applyFont="1" applyFill="1" applyBorder="1" applyAlignment="1">
      <alignment horizontal="center" vertical="top"/>
    </xf>
    <xf numFmtId="167" fontId="26" fillId="24" borderId="10" xfId="45" applyNumberFormat="1" applyFont="1" applyFill="1" applyBorder="1" applyAlignment="1">
      <alignment horizontal="center" vertical="top"/>
    </xf>
    <xf numFmtId="165" fontId="26" fillId="24" borderId="15" xfId="55" applyNumberFormat="1" applyFont="1" applyFill="1" applyBorder="1" applyAlignment="1">
      <alignment horizontal="center" vertical="top"/>
    </xf>
    <xf numFmtId="166" fontId="27" fillId="24" borderId="39" xfId="45" applyNumberFormat="1" applyFont="1" applyFill="1" applyBorder="1" applyAlignment="1" applyProtection="1">
      <alignment horizontal="center" vertical="top"/>
    </xf>
    <xf numFmtId="44" fontId="26" fillId="24" borderId="15" xfId="0" applyNumberFormat="1" applyFont="1" applyFill="1" applyBorder="1" applyAlignment="1">
      <alignment vertical="top"/>
    </xf>
    <xf numFmtId="0" fontId="26" fillId="24" borderId="23" xfId="0" applyFont="1" applyFill="1" applyBorder="1" applyAlignment="1">
      <alignment vertical="top"/>
    </xf>
    <xf numFmtId="0" fontId="27" fillId="24" borderId="11" xfId="0" applyFont="1" applyFill="1" applyBorder="1" applyAlignment="1">
      <alignment horizontal="left" vertical="top"/>
    </xf>
    <xf numFmtId="44" fontId="27" fillId="24" borderId="11" xfId="0" applyNumberFormat="1" applyFont="1" applyFill="1" applyBorder="1" applyAlignment="1">
      <alignment horizontal="left" vertical="top"/>
    </xf>
    <xf numFmtId="165" fontId="27" fillId="24" borderId="14" xfId="55" applyNumberFormat="1" applyFont="1" applyFill="1" applyBorder="1" applyAlignment="1" applyProtection="1">
      <alignment horizontal="left" vertical="top"/>
    </xf>
    <xf numFmtId="44" fontId="27" fillId="24" borderId="14" xfId="0" applyNumberFormat="1" applyFont="1" applyFill="1" applyBorder="1" applyAlignment="1">
      <alignment horizontal="left" vertical="top"/>
    </xf>
    <xf numFmtId="2" fontId="50" fillId="33" borderId="27" xfId="45" applyNumberFormat="1" applyFont="1" applyFill="1" applyBorder="1" applyAlignment="1">
      <alignment horizontal="left" vertical="top"/>
    </xf>
    <xf numFmtId="44" fontId="30" fillId="30" borderId="11" xfId="56" applyNumberFormat="1" applyFont="1" applyFill="1" applyBorder="1" applyAlignment="1">
      <alignment horizontal="center" vertical="top"/>
    </xf>
    <xf numFmtId="166" fontId="28" fillId="30" borderId="43" xfId="0" applyNumberFormat="1" applyFont="1" applyFill="1" applyBorder="1" applyAlignment="1" applyProtection="1">
      <alignment horizontal="center" vertical="top"/>
    </xf>
    <xf numFmtId="14" fontId="51" fillId="24" borderId="0" xfId="59" applyNumberFormat="1" applyFont="1" applyFill="1" applyBorder="1" applyAlignment="1">
      <alignment horizontal="left" vertical="top"/>
    </xf>
    <xf numFmtId="49" fontId="38" fillId="34" borderId="27" xfId="45" applyNumberFormat="1" applyFont="1" applyFill="1" applyBorder="1" applyAlignment="1">
      <alignment horizontal="center" vertical="top" wrapText="1"/>
    </xf>
    <xf numFmtId="0" fontId="38" fillId="34" borderId="18" xfId="45" applyFont="1" applyFill="1" applyBorder="1" applyAlignment="1">
      <alignment horizontal="left" vertical="top" wrapText="1"/>
    </xf>
    <xf numFmtId="0" fontId="38" fillId="34" borderId="18" xfId="45" applyFont="1" applyFill="1" applyBorder="1" applyAlignment="1">
      <alignment vertical="top" wrapText="1"/>
    </xf>
    <xf numFmtId="166" fontId="38" fillId="34" borderId="28" xfId="45" applyNumberFormat="1" applyFont="1" applyFill="1" applyBorder="1" applyAlignment="1" applyProtection="1">
      <alignment horizontal="left" vertical="top"/>
    </xf>
    <xf numFmtId="44" fontId="30" fillId="30" borderId="14" xfId="56" applyNumberFormat="1" applyFont="1" applyFill="1" applyBorder="1" applyAlignment="1">
      <alignment horizontal="center" vertical="top"/>
    </xf>
    <xf numFmtId="165" fontId="28" fillId="30" borderId="11" xfId="0" applyNumberFormat="1" applyFont="1" applyFill="1" applyBorder="1" applyAlignment="1">
      <alignment horizontal="left" vertical="top"/>
    </xf>
    <xf numFmtId="1" fontId="28" fillId="30" borderId="13" xfId="0" applyNumberFormat="1" applyFont="1" applyFill="1" applyBorder="1" applyAlignment="1">
      <alignment horizontal="left" vertical="top"/>
    </xf>
    <xf numFmtId="165" fontId="28" fillId="30" borderId="14" xfId="0" applyNumberFormat="1" applyFont="1" applyFill="1" applyBorder="1" applyAlignment="1">
      <alignment horizontal="left" vertical="top"/>
    </xf>
    <xf numFmtId="165" fontId="28" fillId="30" borderId="25" xfId="0" applyNumberFormat="1" applyFont="1" applyFill="1" applyBorder="1" applyAlignment="1">
      <alignment horizontal="left" vertical="top"/>
    </xf>
    <xf numFmtId="2" fontId="27" fillId="24" borderId="15" xfId="0" applyNumberFormat="1" applyFont="1" applyFill="1" applyBorder="1" applyAlignment="1">
      <alignment horizontal="center" vertical="top" wrapText="1"/>
    </xf>
    <xf numFmtId="2" fontId="26" fillId="24" borderId="15" xfId="0" applyNumberFormat="1" applyFont="1" applyFill="1" applyBorder="1" applyAlignment="1">
      <alignment horizontal="left" vertical="top" wrapText="1"/>
    </xf>
    <xf numFmtId="1" fontId="26" fillId="24" borderId="15" xfId="0" applyNumberFormat="1" applyFont="1" applyFill="1" applyBorder="1" applyAlignment="1">
      <alignment horizontal="center" vertical="top"/>
    </xf>
    <xf numFmtId="165" fontId="26" fillId="24" borderId="34" xfId="45" applyNumberFormat="1" applyFont="1" applyFill="1" applyBorder="1" applyAlignment="1">
      <alignment horizontal="center" vertical="top"/>
    </xf>
    <xf numFmtId="1" fontId="26" fillId="24" borderId="10" xfId="0" applyNumberFormat="1" applyFont="1" applyFill="1" applyBorder="1" applyAlignment="1">
      <alignment horizontal="center" vertical="top"/>
    </xf>
    <xf numFmtId="1" fontId="59" fillId="35" borderId="27" xfId="0" applyNumberFormat="1" applyFont="1" applyFill="1" applyBorder="1" applyAlignment="1">
      <alignment horizontal="left" vertical="top"/>
    </xf>
    <xf numFmtId="1" fontId="59" fillId="35" borderId="18" xfId="0" applyNumberFormat="1" applyFont="1" applyFill="1" applyBorder="1" applyAlignment="1">
      <alignment horizontal="left" vertical="top" wrapText="1"/>
    </xf>
    <xf numFmtId="1" fontId="59" fillId="35" borderId="18" xfId="0" applyNumberFormat="1" applyFont="1" applyFill="1" applyBorder="1" applyAlignment="1">
      <alignment horizontal="left" vertical="top"/>
    </xf>
    <xf numFmtId="0" fontId="31" fillId="35" borderId="18" xfId="0" applyFont="1" applyFill="1" applyBorder="1" applyAlignment="1">
      <alignment horizontal="left" vertical="top" wrapText="1"/>
    </xf>
    <xf numFmtId="1" fontId="31" fillId="35" borderId="18" xfId="0" applyNumberFormat="1" applyFont="1" applyFill="1" applyBorder="1" applyAlignment="1">
      <alignment horizontal="center" vertical="top"/>
    </xf>
    <xf numFmtId="41" fontId="31" fillId="35" borderId="18" xfId="0" applyNumberFormat="1" applyFont="1" applyFill="1" applyBorder="1" applyAlignment="1">
      <alignment horizontal="right" vertical="top"/>
    </xf>
    <xf numFmtId="0" fontId="31" fillId="35" borderId="18" xfId="0" applyFont="1" applyFill="1" applyBorder="1" applyAlignment="1">
      <alignment horizontal="center" vertical="top"/>
    </xf>
    <xf numFmtId="9" fontId="59" fillId="29" borderId="20" xfId="58" applyFont="1" applyFill="1" applyBorder="1" applyAlignment="1">
      <alignment horizontal="center" vertical="top"/>
    </xf>
    <xf numFmtId="165" fontId="59" fillId="35" borderId="18" xfId="0" applyNumberFormat="1" applyFont="1" applyFill="1" applyBorder="1" applyAlignment="1">
      <alignment horizontal="left" vertical="top"/>
    </xf>
    <xf numFmtId="166" fontId="59" fillId="35" borderId="28" xfId="0" applyNumberFormat="1" applyFont="1" applyFill="1" applyBorder="1" applyAlignment="1" applyProtection="1">
      <alignment horizontal="center" vertical="top"/>
    </xf>
    <xf numFmtId="165" fontId="26" fillId="0" borderId="0" xfId="56" applyNumberFormat="1" applyFont="1" applyFill="1" applyBorder="1" applyAlignment="1">
      <alignment vertical="top"/>
    </xf>
    <xf numFmtId="0" fontId="42" fillId="0" borderId="13" xfId="0" applyFont="1" applyBorder="1" applyAlignment="1">
      <alignment horizontal="left" vertical="top"/>
    </xf>
    <xf numFmtId="0" fontId="26" fillId="0" borderId="14" xfId="0" applyFont="1" applyBorder="1" applyAlignment="1">
      <alignment horizontal="center" vertical="top" wrapText="1"/>
    </xf>
    <xf numFmtId="0" fontId="26" fillId="0" borderId="14" xfId="0" applyFont="1" applyBorder="1" applyAlignment="1">
      <alignment horizontal="center" vertical="top"/>
    </xf>
    <xf numFmtId="2" fontId="26" fillId="0" borderId="14" xfId="0" applyNumberFormat="1" applyFont="1" applyBorder="1" applyAlignment="1">
      <alignment horizontal="left" vertical="top" wrapText="1"/>
    </xf>
    <xf numFmtId="1" fontId="26" fillId="0" borderId="14" xfId="0" applyNumberFormat="1" applyFont="1" applyBorder="1" applyAlignment="1">
      <alignment horizontal="center" vertical="top" wrapText="1"/>
    </xf>
    <xf numFmtId="2" fontId="26" fillId="0" borderId="14" xfId="0" applyNumberFormat="1" applyFont="1" applyBorder="1" applyAlignment="1">
      <alignment horizontal="center" vertical="top" wrapText="1"/>
    </xf>
    <xf numFmtId="44" fontId="26" fillId="0" borderId="14" xfId="56" applyNumberFormat="1" applyFont="1" applyBorder="1" applyAlignment="1">
      <alignment horizontal="center" vertical="top"/>
    </xf>
    <xf numFmtId="164" fontId="26" fillId="0" borderId="14" xfId="0" applyNumberFormat="1" applyFont="1" applyBorder="1" applyAlignment="1">
      <alignment vertical="top"/>
    </xf>
    <xf numFmtId="0" fontId="26" fillId="24" borderId="25" xfId="0" applyFont="1" applyFill="1" applyBorder="1" applyAlignment="1">
      <alignment vertical="top"/>
    </xf>
    <xf numFmtId="0" fontId="26" fillId="24" borderId="22" xfId="45" applyFont="1" applyFill="1" applyBorder="1" applyAlignment="1">
      <alignment horizontal="left" vertical="top"/>
    </xf>
    <xf numFmtId="14" fontId="51" fillId="24" borderId="14" xfId="45" applyNumberFormat="1" applyFont="1" applyFill="1" applyBorder="1" applyAlignment="1">
      <alignment horizontal="left" vertical="top"/>
    </xf>
    <xf numFmtId="2" fontId="53" fillId="24" borderId="14" xfId="45" applyNumberFormat="1" applyFont="1" applyFill="1" applyBorder="1" applyAlignment="1">
      <alignment horizontal="left" vertical="top"/>
    </xf>
    <xf numFmtId="0" fontId="26" fillId="24" borderId="14" xfId="45" applyFont="1" applyFill="1" applyBorder="1" applyAlignment="1">
      <alignment vertical="top"/>
    </xf>
    <xf numFmtId="43" fontId="41" fillId="0" borderId="0" xfId="45" applyNumberFormat="1" applyFont="1" applyAlignment="1">
      <alignment vertical="top"/>
    </xf>
    <xf numFmtId="0" fontId="26" fillId="0" borderId="53" xfId="0" applyFont="1" applyBorder="1" applyAlignment="1">
      <alignment vertical="top"/>
    </xf>
    <xf numFmtId="0" fontId="60" fillId="24" borderId="10" xfId="0" applyFont="1" applyFill="1" applyBorder="1" applyAlignment="1" applyProtection="1">
      <alignment horizontal="center" vertical="top" wrapText="1"/>
    </xf>
    <xf numFmtId="0" fontId="60" fillId="24" borderId="15" xfId="45" applyFont="1" applyFill="1" applyBorder="1" applyAlignment="1">
      <alignment horizontal="center" vertical="top" wrapText="1"/>
    </xf>
    <xf numFmtId="0" fontId="60" fillId="24" borderId="31" xfId="0" applyFont="1" applyFill="1" applyBorder="1" applyAlignment="1" applyProtection="1">
      <alignment horizontal="center" vertical="top" wrapText="1"/>
    </xf>
    <xf numFmtId="0" fontId="36" fillId="24" borderId="15" xfId="45" applyFont="1" applyFill="1" applyBorder="1" applyAlignment="1">
      <alignment horizontal="center" vertical="top" wrapText="1"/>
    </xf>
    <xf numFmtId="0" fontId="36" fillId="24" borderId="10" xfId="0" applyFont="1" applyFill="1" applyBorder="1" applyAlignment="1" applyProtection="1">
      <alignment horizontal="center" vertical="top" wrapText="1"/>
    </xf>
    <xf numFmtId="0" fontId="36" fillId="24" borderId="31" xfId="0" applyFont="1" applyFill="1" applyBorder="1" applyAlignment="1" applyProtection="1">
      <alignment horizontal="center" vertical="top" wrapText="1"/>
    </xf>
    <xf numFmtId="0" fontId="60" fillId="24" borderId="15" xfId="0" applyFont="1" applyFill="1" applyBorder="1" applyAlignment="1" applyProtection="1">
      <alignment horizontal="center" vertical="top" wrapText="1"/>
    </xf>
    <xf numFmtId="0" fontId="60" fillId="27" borderId="18" xfId="0" applyFont="1" applyFill="1" applyBorder="1" applyAlignment="1" applyProtection="1">
      <alignment horizontal="center" vertical="top"/>
    </xf>
    <xf numFmtId="0" fontId="60" fillId="0" borderId="31" xfId="0" applyFont="1" applyFill="1" applyBorder="1" applyAlignment="1" applyProtection="1">
      <alignment horizontal="center" vertical="top" wrapText="1"/>
    </xf>
    <xf numFmtId="2" fontId="36" fillId="0" borderId="10" xfId="0" applyNumberFormat="1" applyFont="1" applyFill="1" applyBorder="1" applyAlignment="1">
      <alignment horizontal="left" vertical="top" wrapText="1"/>
    </xf>
    <xf numFmtId="0" fontId="26" fillId="24" borderId="23" xfId="0" applyFont="1" applyFill="1" applyBorder="1" applyAlignment="1" applyProtection="1">
      <alignment horizontal="center" vertical="top" wrapText="1"/>
    </xf>
    <xf numFmtId="2" fontId="27" fillId="31" borderId="27" xfId="0" applyNumberFormat="1" applyFont="1" applyFill="1" applyBorder="1" applyAlignment="1">
      <alignment horizontal="left" vertical="top" wrapText="1"/>
    </xf>
    <xf numFmtId="9" fontId="26" fillId="0" borderId="53" xfId="0" applyNumberFormat="1" applyFont="1" applyFill="1" applyBorder="1" applyAlignment="1">
      <alignment horizontal="center" vertical="top"/>
    </xf>
    <xf numFmtId="44" fontId="26" fillId="0" borderId="32" xfId="55" applyNumberFormat="1" applyFont="1" applyFill="1" applyBorder="1" applyAlignment="1">
      <alignment horizontal="center" vertical="top"/>
    </xf>
    <xf numFmtId="2" fontId="27" fillId="24" borderId="15" xfId="45" applyNumberFormat="1" applyFont="1" applyFill="1" applyBorder="1" applyAlignment="1">
      <alignment horizontal="left" vertical="top" wrapText="1"/>
    </xf>
    <xf numFmtId="2" fontId="26" fillId="24" borderId="15" xfId="45" applyNumberFormat="1" applyFont="1" applyFill="1" applyBorder="1" applyAlignment="1">
      <alignment horizontal="center" vertical="top"/>
    </xf>
    <xf numFmtId="170" fontId="26" fillId="0" borderId="10" xfId="45" applyNumberFormat="1" applyFont="1" applyBorder="1" applyAlignment="1">
      <alignment horizontal="center" vertical="top"/>
    </xf>
    <xf numFmtId="171" fontId="26" fillId="24" borderId="15" xfId="45" applyNumberFormat="1" applyFont="1" applyFill="1" applyBorder="1" applyAlignment="1">
      <alignment horizontal="center" vertical="top"/>
    </xf>
    <xf numFmtId="2" fontId="6" fillId="0" borderId="15" xfId="45" applyNumberFormat="1" applyFont="1" applyBorder="1" applyAlignment="1">
      <alignment horizontal="left" vertical="top" wrapText="1"/>
    </xf>
    <xf numFmtId="172" fontId="27" fillId="24" borderId="10" xfId="0" applyNumberFormat="1" applyFont="1" applyFill="1" applyBorder="1" applyAlignment="1" applyProtection="1">
      <alignment horizontal="center" vertical="top" wrapText="1"/>
    </xf>
    <xf numFmtId="1" fontId="51" fillId="0" borderId="10" xfId="45" applyNumberFormat="1" applyFont="1" applyFill="1" applyBorder="1" applyAlignment="1">
      <alignment horizontal="center" vertical="top"/>
    </xf>
    <xf numFmtId="2" fontId="51" fillId="24" borderId="10" xfId="45" applyNumberFormat="1" applyFont="1" applyFill="1" applyBorder="1" applyAlignment="1">
      <alignment horizontal="left" vertical="top" wrapText="1"/>
    </xf>
    <xf numFmtId="167" fontId="51" fillId="28" borderId="10" xfId="45" applyNumberFormat="1" applyFont="1" applyFill="1" applyBorder="1" applyAlignment="1">
      <alignment horizontal="center" vertical="top"/>
    </xf>
    <xf numFmtId="166" fontId="51" fillId="28" borderId="10" xfId="45" applyNumberFormat="1" applyFont="1" applyFill="1" applyBorder="1" applyAlignment="1">
      <alignment horizontal="center" vertical="top"/>
    </xf>
    <xf numFmtId="2" fontId="28" fillId="30" borderId="27" xfId="0" applyNumberFormat="1" applyFont="1" applyFill="1" applyBorder="1" applyAlignment="1">
      <alignment horizontal="left" vertical="top"/>
    </xf>
    <xf numFmtId="2" fontId="28" fillId="30" borderId="18" xfId="0" applyNumberFormat="1" applyFont="1" applyFill="1" applyBorder="1" applyAlignment="1">
      <alignment horizontal="left" vertical="top" wrapText="1"/>
    </xf>
    <xf numFmtId="2" fontId="28" fillId="30" borderId="18" xfId="0" applyNumberFormat="1" applyFont="1" applyFill="1" applyBorder="1" applyAlignment="1">
      <alignment horizontal="left" vertical="top"/>
    </xf>
    <xf numFmtId="2" fontId="28" fillId="30" borderId="18" xfId="0" applyNumberFormat="1" applyFont="1" applyFill="1" applyBorder="1" applyAlignment="1">
      <alignment horizontal="center" vertical="top"/>
    </xf>
    <xf numFmtId="2" fontId="28" fillId="30" borderId="28" xfId="0" applyNumberFormat="1" applyFont="1" applyFill="1" applyBorder="1" applyAlignment="1">
      <alignment horizontal="right" vertical="top"/>
    </xf>
    <xf numFmtId="2" fontId="27" fillId="24" borderId="40" xfId="0" applyNumberFormat="1" applyFont="1" applyFill="1" applyBorder="1" applyAlignment="1">
      <alignment horizontal="left" vertical="top"/>
    </xf>
    <xf numFmtId="0" fontId="26" fillId="24" borderId="43" xfId="0" applyFont="1" applyFill="1" applyBorder="1" applyAlignment="1">
      <alignment horizontal="center" vertical="top" wrapText="1"/>
    </xf>
    <xf numFmtId="0" fontId="27" fillId="24" borderId="40" xfId="0" applyFont="1" applyFill="1" applyBorder="1" applyAlignment="1">
      <alignment horizontal="left" vertical="top"/>
    </xf>
    <xf numFmtId="2" fontId="27" fillId="24" borderId="11" xfId="0" applyNumberFormat="1" applyFont="1" applyFill="1" applyBorder="1" applyAlignment="1">
      <alignment vertical="top"/>
    </xf>
    <xf numFmtId="2" fontId="27" fillId="24" borderId="11" xfId="45" applyNumberFormat="1" applyFont="1" applyFill="1" applyBorder="1" applyAlignment="1">
      <alignment vertical="top"/>
    </xf>
    <xf numFmtId="2" fontId="27" fillId="24" borderId="43" xfId="45" applyNumberFormat="1" applyFont="1" applyFill="1" applyBorder="1" applyAlignment="1">
      <alignment vertical="top"/>
    </xf>
    <xf numFmtId="0" fontId="26" fillId="24" borderId="12" xfId="0" applyFont="1" applyFill="1" applyBorder="1" applyAlignment="1">
      <alignment horizontal="left" vertical="top"/>
    </xf>
    <xf numFmtId="0" fontId="26" fillId="24" borderId="24" xfId="0" applyFont="1" applyFill="1" applyBorder="1" applyAlignment="1">
      <alignment horizontal="center" vertical="top" wrapText="1"/>
    </xf>
    <xf numFmtId="14" fontId="26" fillId="24" borderId="12" xfId="0" applyNumberFormat="1" applyFont="1" applyFill="1" applyBorder="1" applyAlignment="1">
      <alignment horizontal="left" vertical="top"/>
    </xf>
    <xf numFmtId="2" fontId="27" fillId="24" borderId="0" xfId="0" applyNumberFormat="1" applyFont="1" applyFill="1" applyBorder="1" applyAlignment="1">
      <alignment vertical="top"/>
    </xf>
    <xf numFmtId="0" fontId="27" fillId="24" borderId="13" xfId="0" applyFont="1" applyFill="1" applyBorder="1" applyAlignment="1" applyProtection="1">
      <alignment horizontal="left" vertical="top"/>
    </xf>
    <xf numFmtId="0" fontId="26" fillId="24" borderId="25" xfId="0" applyFont="1" applyFill="1" applyBorder="1" applyAlignment="1" applyProtection="1">
      <alignment horizontal="center" vertical="top" wrapText="1"/>
    </xf>
    <xf numFmtId="165" fontId="27" fillId="24" borderId="13" xfId="55" applyNumberFormat="1" applyFont="1" applyFill="1" applyBorder="1" applyAlignment="1" applyProtection="1">
      <alignment horizontal="left" vertical="top"/>
    </xf>
    <xf numFmtId="2" fontId="61" fillId="24" borderId="14" xfId="54" applyNumberFormat="1" applyFont="1" applyFill="1" applyBorder="1" applyAlignment="1">
      <alignment horizontal="center" vertical="top"/>
    </xf>
    <xf numFmtId="2" fontId="61" fillId="24" borderId="25" xfId="54" applyNumberFormat="1" applyFont="1" applyFill="1" applyBorder="1" applyAlignment="1">
      <alignment horizontal="center" vertical="top"/>
    </xf>
    <xf numFmtId="0" fontId="28" fillId="30" borderId="27" xfId="0" applyFont="1" applyFill="1" applyBorder="1" applyAlignment="1" applyProtection="1">
      <alignment horizontal="center" vertical="top" wrapText="1"/>
    </xf>
    <xf numFmtId="1" fontId="28" fillId="30" borderId="18" xfId="0" applyNumberFormat="1" applyFont="1" applyFill="1" applyBorder="1" applyAlignment="1" applyProtection="1">
      <alignment horizontal="center" vertical="top" wrapText="1"/>
    </xf>
    <xf numFmtId="0" fontId="28" fillId="30" borderId="18" xfId="0" applyFont="1" applyFill="1" applyBorder="1" applyAlignment="1" applyProtection="1">
      <alignment horizontal="center" vertical="top" wrapText="1"/>
    </xf>
    <xf numFmtId="164" fontId="28" fillId="30" borderId="28" xfId="0" applyNumberFormat="1" applyFont="1" applyFill="1" applyBorder="1" applyAlignment="1" applyProtection="1">
      <alignment horizontal="center" vertical="top" wrapText="1"/>
    </xf>
    <xf numFmtId="0" fontId="35" fillId="0" borderId="40" xfId="0" applyFont="1" applyBorder="1" applyAlignment="1">
      <alignment horizontal="left" vertical="top"/>
    </xf>
    <xf numFmtId="0" fontId="26" fillId="0" borderId="11" xfId="0" applyFont="1" applyBorder="1" applyAlignment="1">
      <alignment horizontal="center" vertical="top" wrapText="1"/>
    </xf>
    <xf numFmtId="0" fontId="26" fillId="0" borderId="11" xfId="0" applyFont="1" applyBorder="1" applyAlignment="1">
      <alignment horizontal="center" vertical="top"/>
    </xf>
    <xf numFmtId="2" fontId="26" fillId="0" borderId="11" xfId="0" applyNumberFormat="1" applyFont="1" applyBorder="1" applyAlignment="1">
      <alignment horizontal="left" vertical="top" wrapText="1"/>
    </xf>
    <xf numFmtId="1" fontId="26" fillId="0" borderId="11" xfId="0" applyNumberFormat="1" applyFont="1" applyBorder="1" applyAlignment="1">
      <alignment horizontal="center" vertical="top" wrapText="1"/>
    </xf>
    <xf numFmtId="2" fontId="26" fillId="0" borderId="11" xfId="0" applyNumberFormat="1" applyFont="1" applyBorder="1" applyAlignment="1">
      <alignment horizontal="center" vertical="top" wrapText="1"/>
    </xf>
    <xf numFmtId="44" fontId="26" fillId="0" borderId="11" xfId="56" applyNumberFormat="1" applyFont="1" applyBorder="1" applyAlignment="1">
      <alignment horizontal="center" vertical="top"/>
    </xf>
    <xf numFmtId="164" fontId="26" fillId="0" borderId="11" xfId="0" applyNumberFormat="1" applyFont="1" applyBorder="1" applyAlignment="1">
      <alignment vertical="top"/>
    </xf>
    <xf numFmtId="0" fontId="26" fillId="24" borderId="43" xfId="0" applyFont="1" applyFill="1" applyBorder="1" applyAlignment="1">
      <alignment vertical="top"/>
    </xf>
    <xf numFmtId="165" fontId="26" fillId="24" borderId="15" xfId="56" applyNumberFormat="1" applyFont="1" applyFill="1" applyBorder="1" applyAlignment="1">
      <alignment horizontal="center" vertical="top"/>
    </xf>
    <xf numFmtId="165" fontId="59" fillId="35" borderId="28" xfId="0" applyNumberFormat="1" applyFont="1" applyFill="1" applyBorder="1" applyAlignment="1" applyProtection="1">
      <alignment horizontal="center" vertical="top"/>
    </xf>
    <xf numFmtId="166" fontId="38" fillId="36" borderId="24" xfId="45" applyNumberFormat="1" applyFont="1" applyFill="1" applyBorder="1" applyAlignment="1" applyProtection="1">
      <alignment horizontal="left" vertical="top"/>
    </xf>
    <xf numFmtId="0" fontId="58" fillId="35" borderId="13" xfId="45" applyFont="1" applyFill="1" applyBorder="1" applyAlignment="1">
      <alignment vertical="top"/>
    </xf>
    <xf numFmtId="0" fontId="58" fillId="35" borderId="14" xfId="45" applyFont="1" applyFill="1" applyBorder="1" applyAlignment="1">
      <alignment vertical="top" wrapText="1"/>
    </xf>
    <xf numFmtId="173" fontId="58" fillId="35" borderId="25" xfId="45" applyNumberFormat="1" applyFont="1" applyFill="1" applyBorder="1" applyAlignment="1">
      <alignment vertical="top"/>
    </xf>
    <xf numFmtId="164" fontId="58" fillId="35" borderId="25" xfId="45" applyNumberFormat="1" applyFont="1" applyFill="1" applyBorder="1" applyAlignment="1">
      <alignment vertical="top"/>
    </xf>
    <xf numFmtId="9" fontId="58" fillId="29" borderId="20" xfId="58" applyFont="1" applyFill="1" applyBorder="1" applyAlignment="1">
      <alignment horizontal="center" vertical="top" wrapText="1"/>
    </xf>
    <xf numFmtId="9" fontId="58" fillId="29" borderId="22" xfId="58" applyFont="1" applyFill="1" applyBorder="1" applyAlignment="1">
      <alignment horizontal="center" vertical="top" wrapText="1"/>
    </xf>
    <xf numFmtId="0" fontId="62" fillId="30" borderId="27" xfId="45" applyFont="1" applyFill="1" applyBorder="1" applyAlignment="1">
      <alignment horizontal="center" vertical="top" wrapText="1"/>
    </xf>
    <xf numFmtId="2" fontId="62" fillId="30" borderId="18" xfId="45" applyNumberFormat="1" applyFont="1" applyFill="1" applyBorder="1" applyAlignment="1">
      <alignment horizontal="center" vertical="top" wrapText="1"/>
    </xf>
    <xf numFmtId="1" fontId="62" fillId="30" borderId="18" xfId="45" applyNumberFormat="1" applyFont="1" applyFill="1" applyBorder="1" applyAlignment="1">
      <alignment horizontal="center" vertical="top" wrapText="1"/>
    </xf>
    <xf numFmtId="0" fontId="62" fillId="30" borderId="18" xfId="45" applyFont="1" applyFill="1" applyBorder="1" applyAlignment="1">
      <alignment horizontal="center" vertical="top" wrapText="1"/>
    </xf>
    <xf numFmtId="164" fontId="62" fillId="30" borderId="28" xfId="45" applyNumberFormat="1" applyFont="1" applyFill="1" applyBorder="1" applyAlignment="1">
      <alignment horizontal="center" vertical="top" wrapText="1"/>
    </xf>
  </cellXfs>
  <cellStyles count="6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6"/>
    <cellStyle name="Comma 2 2" xfId="48"/>
    <cellStyle name="Currency" xfId="56" builtinId="4"/>
    <cellStyle name="Currency 2" xfId="50"/>
    <cellStyle name="Currency 3" xfId="55"/>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54" builtinId="8"/>
    <cellStyle name="Input" xfId="34" builtinId="20" customBuiltin="1"/>
    <cellStyle name="Linked Cell" xfId="35" builtinId="24" customBuiltin="1"/>
    <cellStyle name="Neutral" xfId="36" builtinId="28" customBuiltin="1"/>
    <cellStyle name="Normal" xfId="0" builtinId="0"/>
    <cellStyle name="Normal 2" xfId="44"/>
    <cellStyle name="Normal 2 2" xfId="47"/>
    <cellStyle name="Normal 2 2 2" xfId="60"/>
    <cellStyle name="Normal 2 2 3" xfId="62"/>
    <cellStyle name="Normal 2 3" xfId="45"/>
    <cellStyle name="Normal 2 3 2" xfId="52"/>
    <cellStyle name="Normal 3" xfId="37"/>
    <cellStyle name="Normal 4" xfId="43"/>
    <cellStyle name="Normal 4 2" xfId="53"/>
    <cellStyle name="Normal 4 3" xfId="51"/>
    <cellStyle name="Normal 4 4" xfId="59"/>
    <cellStyle name="Normal 5" xfId="49"/>
    <cellStyle name="Note" xfId="38" builtinId="10" customBuiltin="1"/>
    <cellStyle name="Output" xfId="39" builtinId="21" customBuiltin="1"/>
    <cellStyle name="Percent" xfId="57" builtinId="5"/>
    <cellStyle name="Percent 2" xfId="58"/>
    <cellStyle name="Percent 3 2" xfId="61"/>
    <cellStyle name="Percent 3 2 2" xfId="63"/>
    <cellStyle name="Title" xfId="40" builtinId="15" customBuiltin="1"/>
    <cellStyle name="Total" xfId="41" builtinId="25" customBuiltin="1"/>
    <cellStyle name="Warning Text" xfId="42" builtinId="11" customBuiltin="1"/>
  </cellStyles>
  <dxfs count="1">
    <dxf>
      <fill>
        <patternFill patternType="solid">
          <fgColor rgb="FFBFBFBF"/>
          <bgColor rgb="FF000000"/>
        </patternFill>
      </fill>
    </dxf>
  </dxfs>
  <tableStyles count="0" defaultTableStyle="TableStyleMedium9" defaultPivotStyle="PivotStyleLight16"/>
  <colors>
    <mruColors>
      <color rgb="FFF55D61"/>
      <color rgb="FFFED2DC"/>
      <color rgb="FFD5D5D5"/>
      <color rgb="FFB94517"/>
      <color rgb="FFFE9494"/>
      <color rgb="FFF3F3F3"/>
      <color rgb="FFF50101"/>
      <color rgb="FFCE2008"/>
      <color rgb="FFFF512C"/>
      <color rgb="FFDE79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F35"/>
  <sheetViews>
    <sheetView showGridLines="0" view="pageBreakPreview" zoomScale="90" zoomScaleNormal="100" zoomScaleSheetLayoutView="90" workbookViewId="0">
      <selection activeCell="E30" sqref="E30"/>
    </sheetView>
  </sheetViews>
  <sheetFormatPr defaultRowHeight="15.75" x14ac:dyDescent="0.25"/>
  <cols>
    <col min="1" max="1" width="8.88671875" style="154"/>
    <col min="2" max="2" width="21.5546875" style="154" customWidth="1"/>
    <col min="3" max="3" width="43.33203125" style="154" bestFit="1" customWidth="1"/>
    <col min="4" max="4" width="7.44140625" style="154" customWidth="1"/>
    <col min="5" max="5" width="19.33203125" style="154" customWidth="1"/>
    <col min="6" max="16384" width="8.88671875" style="154"/>
  </cols>
  <sheetData>
    <row r="1" spans="1:6" x14ac:dyDescent="0.25">
      <c r="A1" s="192"/>
      <c r="B1" s="193"/>
      <c r="C1" s="179"/>
      <c r="D1" s="193"/>
      <c r="E1" s="194"/>
      <c r="F1" s="195"/>
    </row>
    <row r="2" spans="1:6" ht="16.5" thickBot="1" x14ac:dyDescent="0.3">
      <c r="A2" s="150"/>
      <c r="B2" s="151"/>
      <c r="C2" s="181"/>
      <c r="D2" s="151"/>
      <c r="E2" s="152"/>
      <c r="F2" s="153"/>
    </row>
    <row r="3" spans="1:6" x14ac:dyDescent="0.25">
      <c r="A3" s="150"/>
      <c r="B3" s="155" t="s">
        <v>7</v>
      </c>
      <c r="C3" s="156"/>
      <c r="D3" s="157"/>
      <c r="E3" s="158"/>
      <c r="F3" s="153"/>
    </row>
    <row r="4" spans="1:6" ht="16.5" thickBot="1" x14ac:dyDescent="0.3">
      <c r="A4" s="159"/>
      <c r="B4" s="160" t="s">
        <v>8</v>
      </c>
      <c r="C4" s="161"/>
      <c r="D4" s="161"/>
      <c r="E4" s="162"/>
      <c r="F4" s="163"/>
    </row>
    <row r="5" spans="1:6" ht="16.5" thickBot="1" x14ac:dyDescent="0.3">
      <c r="A5" s="159"/>
      <c r="B5" s="333"/>
      <c r="C5" s="334"/>
      <c r="D5" s="335"/>
      <c r="E5" s="336"/>
      <c r="F5" s="153"/>
    </row>
    <row r="6" spans="1:6" x14ac:dyDescent="0.25">
      <c r="A6" s="159"/>
      <c r="B6" s="164"/>
      <c r="C6" s="165" t="s">
        <v>228</v>
      </c>
      <c r="D6" s="166"/>
      <c r="E6" s="167">
        <f>ESTIMATE!$L$10</f>
        <v>0</v>
      </c>
      <c r="F6" s="153"/>
    </row>
    <row r="7" spans="1:6" x14ac:dyDescent="0.25">
      <c r="A7" s="159"/>
      <c r="B7" s="164"/>
      <c r="C7" s="165" t="s">
        <v>229</v>
      </c>
      <c r="D7" s="166"/>
      <c r="E7" s="167">
        <f>ESTIMATE!$L$25</f>
        <v>0</v>
      </c>
      <c r="F7" s="153"/>
    </row>
    <row r="8" spans="1:6" x14ac:dyDescent="0.25">
      <c r="A8" s="159"/>
      <c r="B8" s="164"/>
      <c r="C8" s="165" t="s">
        <v>250</v>
      </c>
      <c r="D8" s="166"/>
      <c r="E8" s="167">
        <f>ESTIMATE!L$31</f>
        <v>0</v>
      </c>
      <c r="F8" s="153"/>
    </row>
    <row r="9" spans="1:6" x14ac:dyDescent="0.25">
      <c r="A9" s="159"/>
      <c r="B9" s="164"/>
      <c r="C9" s="165" t="s">
        <v>230</v>
      </c>
      <c r="D9" s="166"/>
      <c r="E9" s="167">
        <f>ESTIMATE!$L$99</f>
        <v>0</v>
      </c>
      <c r="F9" s="153"/>
    </row>
    <row r="10" spans="1:6" x14ac:dyDescent="0.25">
      <c r="A10" s="159"/>
      <c r="B10" s="164"/>
      <c r="C10" s="165" t="s">
        <v>231</v>
      </c>
      <c r="D10" s="166"/>
      <c r="E10" s="167">
        <f>ESTIMATE!$L$108</f>
        <v>0</v>
      </c>
      <c r="F10" s="163"/>
    </row>
    <row r="11" spans="1:6" x14ac:dyDescent="0.25">
      <c r="A11" s="159"/>
      <c r="B11" s="164"/>
      <c r="C11" s="165" t="s">
        <v>232</v>
      </c>
      <c r="D11" s="166"/>
      <c r="E11" s="167">
        <f>ESTIMATE!$L$114</f>
        <v>0</v>
      </c>
      <c r="F11" s="163"/>
    </row>
    <row r="12" spans="1:6" x14ac:dyDescent="0.25">
      <c r="A12" s="159"/>
      <c r="B12" s="164"/>
      <c r="C12" s="165" t="s">
        <v>91</v>
      </c>
      <c r="D12" s="166"/>
      <c r="E12" s="167">
        <f>ESTIMATE!$L$119</f>
        <v>0</v>
      </c>
      <c r="F12" s="163"/>
    </row>
    <row r="13" spans="1:6" x14ac:dyDescent="0.25">
      <c r="A13" s="159"/>
      <c r="B13" s="164"/>
      <c r="C13" s="165" t="s">
        <v>233</v>
      </c>
      <c r="D13" s="166"/>
      <c r="E13" s="167">
        <f>ESTIMATE!$L$129</f>
        <v>0</v>
      </c>
      <c r="F13" s="163"/>
    </row>
    <row r="14" spans="1:6" x14ac:dyDescent="0.25">
      <c r="A14" s="159"/>
      <c r="B14" s="164"/>
      <c r="C14" s="165" t="s">
        <v>234</v>
      </c>
      <c r="D14" s="166"/>
      <c r="E14" s="167">
        <f>ESTIMATE!$L$168</f>
        <v>0</v>
      </c>
      <c r="F14" s="163"/>
    </row>
    <row r="15" spans="1:6" x14ac:dyDescent="0.25">
      <c r="A15" s="159"/>
      <c r="B15" s="164"/>
      <c r="C15" s="165" t="s">
        <v>235</v>
      </c>
      <c r="D15" s="166"/>
      <c r="E15" s="167">
        <f>ESTIMATE!$L$173</f>
        <v>0</v>
      </c>
      <c r="F15" s="163"/>
    </row>
    <row r="16" spans="1:6" x14ac:dyDescent="0.25">
      <c r="A16" s="159"/>
      <c r="B16" s="164"/>
      <c r="C16" s="165" t="s">
        <v>236</v>
      </c>
      <c r="D16" s="166"/>
      <c r="E16" s="167">
        <f>ESTIMATE!$L$179</f>
        <v>0</v>
      </c>
      <c r="F16" s="153"/>
    </row>
    <row r="17" spans="1:6" x14ac:dyDescent="0.25">
      <c r="A17" s="159"/>
      <c r="B17" s="164"/>
      <c r="C17" s="165" t="s">
        <v>237</v>
      </c>
      <c r="D17" s="166"/>
      <c r="E17" s="167">
        <f>ESTIMATE!$L$184</f>
        <v>0</v>
      </c>
      <c r="F17" s="163"/>
    </row>
    <row r="18" spans="1:6" x14ac:dyDescent="0.25">
      <c r="A18" s="159"/>
      <c r="B18" s="164"/>
      <c r="C18" s="165" t="s">
        <v>130</v>
      </c>
      <c r="D18" s="166"/>
      <c r="E18" s="167">
        <f>ESTIMATE!$L$189</f>
        <v>0</v>
      </c>
      <c r="F18" s="163"/>
    </row>
    <row r="19" spans="1:6" x14ac:dyDescent="0.25">
      <c r="A19" s="159"/>
      <c r="B19" s="164"/>
      <c r="C19" s="165" t="s">
        <v>238</v>
      </c>
      <c r="D19" s="166"/>
      <c r="E19" s="167">
        <f>ESTIMATE!$L$194</f>
        <v>0</v>
      </c>
      <c r="F19" s="163"/>
    </row>
    <row r="20" spans="1:6" x14ac:dyDescent="0.25">
      <c r="A20" s="159"/>
      <c r="B20" s="164"/>
      <c r="C20" s="165" t="s">
        <v>239</v>
      </c>
      <c r="D20" s="166"/>
      <c r="E20" s="167">
        <f>ESTIMATE!$L$201</f>
        <v>0</v>
      </c>
      <c r="F20" s="163"/>
    </row>
    <row r="21" spans="1:6" x14ac:dyDescent="0.25">
      <c r="A21" s="159"/>
      <c r="B21" s="164"/>
      <c r="C21" s="165" t="s">
        <v>240</v>
      </c>
      <c r="D21" s="166"/>
      <c r="E21" s="167">
        <f>ESTIMATE!$L$212</f>
        <v>0</v>
      </c>
      <c r="F21" s="163"/>
    </row>
    <row r="22" spans="1:6" x14ac:dyDescent="0.25">
      <c r="A22" s="159"/>
      <c r="B22" s="164"/>
      <c r="C22" s="165" t="s">
        <v>241</v>
      </c>
      <c r="D22" s="166"/>
      <c r="E22" s="167">
        <f>ESTIMATE!$L$223</f>
        <v>0</v>
      </c>
      <c r="F22" s="163"/>
    </row>
    <row r="23" spans="1:6" x14ac:dyDescent="0.25">
      <c r="A23" s="159"/>
      <c r="B23" s="164"/>
      <c r="C23" s="165" t="s">
        <v>242</v>
      </c>
      <c r="D23" s="166"/>
      <c r="E23" s="167">
        <f>ESTIMATE!$L$241</f>
        <v>0</v>
      </c>
      <c r="F23" s="153"/>
    </row>
    <row r="24" spans="1:6" x14ac:dyDescent="0.25">
      <c r="A24" s="159"/>
      <c r="B24" s="164"/>
      <c r="C24" s="165" t="s">
        <v>243</v>
      </c>
      <c r="D24" s="166"/>
      <c r="E24" s="432">
        <f>ESTIMATE!$L$246</f>
        <v>0</v>
      </c>
      <c r="F24" s="163"/>
    </row>
    <row r="25" spans="1:6" x14ac:dyDescent="0.25">
      <c r="A25" s="159"/>
      <c r="B25" s="164"/>
      <c r="C25" s="165" t="s">
        <v>244</v>
      </c>
      <c r="D25" s="166"/>
      <c r="E25" s="167">
        <f>ESTIMATE!$L$260</f>
        <v>0</v>
      </c>
      <c r="F25" s="163"/>
    </row>
    <row r="26" spans="1:6" x14ac:dyDescent="0.25">
      <c r="A26" s="159"/>
      <c r="B26" s="164"/>
      <c r="C26" s="165" t="s">
        <v>245</v>
      </c>
      <c r="D26" s="166"/>
      <c r="E26" s="167">
        <f>ESTIMATE!$L$266</f>
        <v>0</v>
      </c>
      <c r="F26" s="163"/>
    </row>
    <row r="27" spans="1:6" x14ac:dyDescent="0.25">
      <c r="A27" s="159"/>
      <c r="B27" s="164"/>
      <c r="C27" s="165" t="s">
        <v>246</v>
      </c>
      <c r="D27" s="166"/>
      <c r="E27" s="167">
        <f>ESTIMATE!$L$272</f>
        <v>0</v>
      </c>
      <c r="F27" s="163"/>
    </row>
    <row r="28" spans="1:6" x14ac:dyDescent="0.25">
      <c r="A28" s="159"/>
      <c r="B28" s="164"/>
      <c r="C28" s="165"/>
      <c r="D28" s="166"/>
      <c r="E28" s="167"/>
      <c r="F28" s="163"/>
    </row>
    <row r="29" spans="1:6" ht="16.5" thickBot="1" x14ac:dyDescent="0.3">
      <c r="A29" s="159"/>
      <c r="B29" s="168" t="s">
        <v>138</v>
      </c>
      <c r="C29" s="169"/>
      <c r="D29" s="169"/>
      <c r="E29" s="170">
        <f>SUM(E6:E28)</f>
        <v>0</v>
      </c>
      <c r="F29" s="163"/>
    </row>
    <row r="30" spans="1:6" ht="16.5" thickBot="1" x14ac:dyDescent="0.3">
      <c r="A30" s="159"/>
      <c r="B30" s="433" t="s">
        <v>137</v>
      </c>
      <c r="C30" s="434"/>
      <c r="D30" s="437">
        <v>0.2</v>
      </c>
      <c r="E30" s="436">
        <f>D30*E29</f>
        <v>0</v>
      </c>
      <c r="F30" s="163"/>
    </row>
    <row r="31" spans="1:6" ht="16.5" thickBot="1" x14ac:dyDescent="0.3">
      <c r="A31" s="159"/>
      <c r="B31" s="433" t="s">
        <v>249</v>
      </c>
      <c r="C31" s="434"/>
      <c r="D31" s="438">
        <v>0.03</v>
      </c>
      <c r="E31" s="435">
        <f>D31*E29</f>
        <v>0</v>
      </c>
      <c r="F31" s="163"/>
    </row>
    <row r="32" spans="1:6" ht="16.5" thickBot="1" x14ac:dyDescent="0.3">
      <c r="A32" s="159"/>
      <c r="B32" s="168" t="s">
        <v>6</v>
      </c>
      <c r="C32" s="169"/>
      <c r="D32" s="169"/>
      <c r="E32" s="170">
        <f>SUM(E29:E31)</f>
        <v>0</v>
      </c>
      <c r="F32" s="163"/>
    </row>
    <row r="33" spans="1:6" x14ac:dyDescent="0.25">
      <c r="A33" s="159"/>
      <c r="B33" s="188"/>
      <c r="C33" s="189"/>
      <c r="D33" s="190"/>
      <c r="E33" s="191"/>
      <c r="F33" s="163"/>
    </row>
    <row r="34" spans="1:6" x14ac:dyDescent="0.25">
      <c r="A34" s="171"/>
      <c r="B34" s="172" t="s">
        <v>29</v>
      </c>
      <c r="C34" s="173"/>
      <c r="D34" s="173"/>
      <c r="E34" s="173"/>
      <c r="F34" s="174"/>
    </row>
    <row r="35" spans="1:6" ht="16.5" thickBot="1" x14ac:dyDescent="0.3">
      <c r="A35" s="175"/>
      <c r="B35" s="176"/>
      <c r="C35" s="177"/>
      <c r="D35" s="177"/>
      <c r="E35" s="177"/>
      <c r="F35" s="178"/>
    </row>
  </sheetData>
  <printOptions horizontalCentered="1" verticalCentered="1"/>
  <pageMargins left="1" right="1" top="1" bottom="1" header="0.5" footer="0.5"/>
  <pageSetup paperSize="9" scale="82" orientation="landscape" r:id="rId1"/>
  <headerFooter>
    <oddFooter xml:space="preserve">&amp;C&amp;P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N280"/>
  <sheetViews>
    <sheetView showGridLines="0" tabSelected="1" view="pageBreakPreview" zoomScale="85" zoomScaleNormal="90" zoomScaleSheetLayoutView="85" workbookViewId="0">
      <pane ySplit="6" topLeftCell="A7" activePane="bottomLeft" state="frozen"/>
      <selection pane="bottomLeft" activeCell="A7" sqref="A7"/>
    </sheetView>
  </sheetViews>
  <sheetFormatPr defaultColWidth="9.6640625" defaultRowHeight="15.75" x14ac:dyDescent="0.2"/>
  <cols>
    <col min="1" max="1" width="5.33203125" style="7" customWidth="1"/>
    <col min="2" max="2" width="12.33203125" style="62" customWidth="1"/>
    <col min="3" max="3" width="14.88671875" style="9" bestFit="1" customWidth="1"/>
    <col min="4" max="4" width="7.44140625" style="9" customWidth="1"/>
    <col min="5" max="5" width="45.77734375" style="15" customWidth="1"/>
    <col min="6" max="6" width="8.109375" style="21" customWidth="1"/>
    <col min="7" max="7" width="8.109375" style="10" customWidth="1"/>
    <col min="8" max="8" width="7.88671875" style="10" customWidth="1"/>
    <col min="9" max="9" width="7.109375" style="9" customWidth="1"/>
    <col min="10" max="10" width="9.33203125" style="76" customWidth="1"/>
    <col min="11" max="11" width="11.44140625" style="11" customWidth="1"/>
    <col min="12" max="12" width="11.6640625" style="18" customWidth="1"/>
    <col min="13" max="13" width="9.6640625" style="8"/>
    <col min="14" max="14" width="10.77734375" style="8" bestFit="1" customWidth="1"/>
    <col min="15" max="16384" width="9.6640625" style="8"/>
  </cols>
  <sheetData>
    <row r="1" spans="1:12" s="6" customFormat="1" ht="16.5" thickBot="1" x14ac:dyDescent="0.25">
      <c r="A1" s="397" t="s">
        <v>7</v>
      </c>
      <c r="B1" s="398"/>
      <c r="C1" s="399"/>
      <c r="D1" s="399"/>
      <c r="E1" s="400"/>
      <c r="F1" s="110"/>
      <c r="G1" s="110"/>
      <c r="H1" s="110"/>
      <c r="I1" s="110"/>
      <c r="J1" s="88"/>
      <c r="K1" s="110"/>
      <c r="L1" s="401" t="s">
        <v>13</v>
      </c>
    </row>
    <row r="2" spans="1:12" s="1" customFormat="1" x14ac:dyDescent="0.2">
      <c r="A2" s="402" t="s">
        <v>8</v>
      </c>
      <c r="B2" s="403"/>
      <c r="C2" s="404"/>
      <c r="D2" s="325"/>
      <c r="E2" s="326"/>
      <c r="F2" s="405"/>
      <c r="G2" s="326"/>
      <c r="H2" s="405"/>
      <c r="I2" s="405"/>
      <c r="J2" s="406"/>
      <c r="K2" s="179"/>
      <c r="L2" s="407"/>
    </row>
    <row r="3" spans="1:12" s="1" customFormat="1" x14ac:dyDescent="0.2">
      <c r="A3" s="408" t="s">
        <v>9</v>
      </c>
      <c r="B3" s="409"/>
      <c r="C3" s="410">
        <v>45120</v>
      </c>
      <c r="D3" s="27"/>
      <c r="E3" s="27"/>
      <c r="F3" s="411"/>
      <c r="G3" s="69"/>
      <c r="H3" s="111"/>
      <c r="I3" s="19"/>
      <c r="J3" s="184"/>
      <c r="K3" s="180"/>
      <c r="L3" s="185"/>
    </row>
    <row r="4" spans="1:12" s="1" customFormat="1" x14ac:dyDescent="0.2">
      <c r="A4" s="408" t="s">
        <v>10</v>
      </c>
      <c r="B4" s="409"/>
      <c r="C4" s="410">
        <v>45111</v>
      </c>
      <c r="D4" s="27"/>
      <c r="E4" s="69"/>
      <c r="F4" s="411"/>
      <c r="G4" s="69"/>
      <c r="H4" s="111"/>
      <c r="I4" s="19"/>
      <c r="J4" s="184"/>
      <c r="K4" s="180"/>
      <c r="L4" s="185"/>
    </row>
    <row r="5" spans="1:12" s="1" customFormat="1" ht="16.5" thickBot="1" x14ac:dyDescent="0.25">
      <c r="A5" s="412" t="s">
        <v>3</v>
      </c>
      <c r="B5" s="413"/>
      <c r="C5" s="414">
        <f>L$278</f>
        <v>0</v>
      </c>
      <c r="D5" s="327"/>
      <c r="E5" s="328"/>
      <c r="F5" s="411"/>
      <c r="G5" s="69"/>
      <c r="H5" s="111"/>
      <c r="I5" s="19"/>
      <c r="J5" s="186"/>
      <c r="K5" s="415"/>
      <c r="L5" s="416"/>
    </row>
    <row r="6" spans="1:12" s="12" customFormat="1" ht="43.5" customHeight="1" thickBot="1" x14ac:dyDescent="0.25">
      <c r="A6" s="417" t="s">
        <v>11</v>
      </c>
      <c r="B6" s="418" t="s">
        <v>16</v>
      </c>
      <c r="C6" s="418" t="s">
        <v>17</v>
      </c>
      <c r="D6" s="418" t="s">
        <v>19</v>
      </c>
      <c r="E6" s="418" t="s">
        <v>1</v>
      </c>
      <c r="F6" s="418" t="s">
        <v>122</v>
      </c>
      <c r="G6" s="418" t="s">
        <v>4</v>
      </c>
      <c r="H6" s="418" t="s">
        <v>5</v>
      </c>
      <c r="I6" s="418" t="s">
        <v>0</v>
      </c>
      <c r="J6" s="418" t="s">
        <v>2</v>
      </c>
      <c r="K6" s="419" t="s">
        <v>6</v>
      </c>
      <c r="L6" s="420" t="s">
        <v>12</v>
      </c>
    </row>
    <row r="7" spans="1:12" s="121" customFormat="1" ht="16.5" thickBot="1" x14ac:dyDescent="0.25">
      <c r="A7" s="146" t="str">
        <f>IF(F7&lt;&gt;"",1+MAX(#REF!),"")</f>
        <v/>
      </c>
      <c r="B7" s="147"/>
      <c r="C7" s="114"/>
      <c r="D7" s="115" t="s">
        <v>32</v>
      </c>
      <c r="E7" s="116" t="s">
        <v>33</v>
      </c>
      <c r="F7" s="117"/>
      <c r="G7" s="118"/>
      <c r="H7" s="118"/>
      <c r="I7" s="118"/>
      <c r="J7" s="70"/>
      <c r="K7" s="119"/>
      <c r="L7" s="120"/>
    </row>
    <row r="8" spans="1:12" s="133" customFormat="1" ht="141.75" x14ac:dyDescent="0.2">
      <c r="A8" s="112">
        <f>IF(F8&lt;&gt;"",1+MAX($A$1:A7),"")</f>
        <v>1</v>
      </c>
      <c r="B8" s="122"/>
      <c r="C8" s="123"/>
      <c r="D8" s="124"/>
      <c r="E8" s="125" t="s">
        <v>136</v>
      </c>
      <c r="F8" s="126">
        <v>1</v>
      </c>
      <c r="G8" s="127">
        <v>0</v>
      </c>
      <c r="H8" s="128">
        <f t="shared" ref="H8" si="0">F8*(1+G8)</f>
        <v>1</v>
      </c>
      <c r="I8" s="129" t="s">
        <v>27</v>
      </c>
      <c r="J8" s="149">
        <v>0</v>
      </c>
      <c r="K8" s="131">
        <f>J8*H8</f>
        <v>0</v>
      </c>
      <c r="L8" s="132"/>
    </row>
    <row r="9" spans="1:12" s="1" customFormat="1" ht="16.5" thickBot="1" x14ac:dyDescent="0.25">
      <c r="A9" s="112" t="str">
        <f>IF(F9&lt;&gt;"",1+MAX($A$1:A8),"")</f>
        <v/>
      </c>
      <c r="B9" s="2"/>
      <c r="C9" s="2"/>
      <c r="D9" s="39"/>
      <c r="E9" s="53"/>
      <c r="F9" s="44"/>
      <c r="G9" s="45"/>
      <c r="H9" s="44"/>
      <c r="I9" s="46"/>
      <c r="J9" s="135"/>
      <c r="K9" s="65"/>
      <c r="L9" s="22"/>
    </row>
    <row r="10" spans="1:12" s="1" customFormat="1" ht="16.5" thickBot="1" x14ac:dyDescent="0.25">
      <c r="A10" s="112" t="str">
        <f>IF(F10&lt;&gt;"",1+MAX($A$1:A9),"")</f>
        <v/>
      </c>
      <c r="B10" s="2"/>
      <c r="C10" s="2"/>
      <c r="D10" s="39"/>
      <c r="E10" s="53" t="s">
        <v>34</v>
      </c>
      <c r="F10" s="29"/>
      <c r="G10" s="24"/>
      <c r="H10" s="4"/>
      <c r="I10" s="25"/>
      <c r="J10" s="113"/>
      <c r="K10" s="68"/>
      <c r="L10" s="136">
        <f>SUM(K8:K9)</f>
        <v>0</v>
      </c>
    </row>
    <row r="11" spans="1:12" s="143" customFormat="1" ht="19.5" thickBot="1" x14ac:dyDescent="0.25">
      <c r="A11" s="112" t="str">
        <f>IF(F11&lt;&gt;"",1+MAX($A$1:A10),"")</f>
        <v/>
      </c>
      <c r="B11" s="122"/>
      <c r="C11" s="123"/>
      <c r="D11" s="137"/>
      <c r="E11" s="138"/>
      <c r="F11" s="139"/>
      <c r="G11" s="127"/>
      <c r="H11" s="140"/>
      <c r="I11" s="141"/>
      <c r="J11" s="134"/>
      <c r="K11" s="142"/>
      <c r="L11" s="132"/>
    </row>
    <row r="12" spans="1:12" s="13" customFormat="1" ht="16.5" thickBot="1" x14ac:dyDescent="0.25">
      <c r="A12" s="112" t="str">
        <f>IF(F12&lt;&gt;"",1+MAX($A$1:A11),"")</f>
        <v/>
      </c>
      <c r="B12" s="60"/>
      <c r="C12" s="26"/>
      <c r="D12" s="26" t="s">
        <v>74</v>
      </c>
      <c r="E12" s="49" t="s">
        <v>76</v>
      </c>
      <c r="F12" s="28"/>
      <c r="G12" s="23"/>
      <c r="H12" s="23"/>
      <c r="I12" s="23"/>
      <c r="J12" s="70"/>
      <c r="K12" s="63"/>
      <c r="L12" s="20"/>
    </row>
    <row r="13" spans="1:12" s="1" customFormat="1" ht="16.5" thickBot="1" x14ac:dyDescent="0.25">
      <c r="A13" s="112" t="str">
        <f>IF(F13&lt;&gt;"",1+MAX($A$1:A12),"")</f>
        <v/>
      </c>
      <c r="B13" s="30"/>
      <c r="C13" s="218"/>
      <c r="D13" s="219"/>
      <c r="E13" s="220" t="s">
        <v>75</v>
      </c>
      <c r="F13" s="221"/>
      <c r="G13" s="222"/>
      <c r="H13" s="223"/>
      <c r="I13" s="224"/>
      <c r="J13" s="227"/>
      <c r="K13" s="228"/>
      <c r="L13" s="20"/>
    </row>
    <row r="14" spans="1:12" s="133" customFormat="1" ht="18.75" x14ac:dyDescent="0.2">
      <c r="A14" s="112">
        <f>IF(F14&lt;&gt;"",1+MAX($A$1:A13),"")</f>
        <v>2</v>
      </c>
      <c r="B14" s="122" t="s">
        <v>143</v>
      </c>
      <c r="C14" s="123"/>
      <c r="D14" s="144"/>
      <c r="E14" s="125" t="s">
        <v>142</v>
      </c>
      <c r="F14" s="126">
        <f>((5.5*0.5*8+35.4*1*8))/27</f>
        <v>11.303703703703704</v>
      </c>
      <c r="G14" s="127">
        <v>0</v>
      </c>
      <c r="H14" s="128">
        <f t="shared" ref="H14" si="1">F14*(1+G14)</f>
        <v>11.303703703703704</v>
      </c>
      <c r="I14" s="129" t="s">
        <v>114</v>
      </c>
      <c r="J14" s="130">
        <v>0</v>
      </c>
      <c r="K14" s="131">
        <f t="shared" ref="K14" si="2">J14*H14</f>
        <v>0</v>
      </c>
      <c r="L14" s="132"/>
    </row>
    <row r="15" spans="1:12" s="133" customFormat="1" ht="18.75" x14ac:dyDescent="0.2">
      <c r="A15" s="112">
        <f>IF(F15&lt;&gt;"",1+MAX($A$1:A14),"")</f>
        <v>3</v>
      </c>
      <c r="B15" s="122" t="s">
        <v>143</v>
      </c>
      <c r="C15" s="123"/>
      <c r="D15" s="144"/>
      <c r="E15" s="125" t="s">
        <v>78</v>
      </c>
      <c r="F15" s="139">
        <f>34.7*8.167+3.4*6.67</f>
        <v>306.0729</v>
      </c>
      <c r="G15" s="127">
        <v>0</v>
      </c>
      <c r="H15" s="128">
        <f t="shared" ref="H15" si="3">F15*(1+G15)</f>
        <v>306.0729</v>
      </c>
      <c r="I15" s="129" t="s">
        <v>18</v>
      </c>
      <c r="J15" s="130">
        <v>0</v>
      </c>
      <c r="K15" s="131">
        <f t="shared" ref="K15" si="4">J15*H15</f>
        <v>0</v>
      </c>
      <c r="L15" s="132"/>
    </row>
    <row r="16" spans="1:12" s="133" customFormat="1" ht="18.75" x14ac:dyDescent="0.2">
      <c r="A16" s="112">
        <f>IF(F16&lt;&gt;"",1+MAX($A$1:A15),"")</f>
        <v>4</v>
      </c>
      <c r="B16" s="122" t="s">
        <v>143</v>
      </c>
      <c r="C16" s="123"/>
      <c r="D16" s="144"/>
      <c r="E16" s="125" t="s">
        <v>141</v>
      </c>
      <c r="F16" s="126">
        <f>3+1</f>
        <v>4</v>
      </c>
      <c r="G16" s="127">
        <v>0</v>
      </c>
      <c r="H16" s="128">
        <f t="shared" ref="H16" si="5">F16*(1+G16)</f>
        <v>4</v>
      </c>
      <c r="I16" s="129" t="s">
        <v>20</v>
      </c>
      <c r="J16" s="130">
        <v>0</v>
      </c>
      <c r="K16" s="131">
        <f t="shared" ref="K16" si="6">J16*H16</f>
        <v>0</v>
      </c>
      <c r="L16" s="132"/>
    </row>
    <row r="17" spans="1:12" s="133" customFormat="1" ht="18.75" x14ac:dyDescent="0.2">
      <c r="A17" s="112">
        <f>IF(F17&lt;&gt;"",1+MAX($A$1:A16),"")</f>
        <v>5</v>
      </c>
      <c r="B17" s="122" t="s">
        <v>143</v>
      </c>
      <c r="C17" s="123"/>
      <c r="D17" s="144"/>
      <c r="E17" s="125" t="s">
        <v>129</v>
      </c>
      <c r="F17" s="126">
        <v>3</v>
      </c>
      <c r="G17" s="127">
        <v>0</v>
      </c>
      <c r="H17" s="128">
        <f t="shared" ref="H17" si="7">F17*(1+G17)</f>
        <v>3</v>
      </c>
      <c r="I17" s="129" t="s">
        <v>20</v>
      </c>
      <c r="J17" s="130">
        <v>0</v>
      </c>
      <c r="K17" s="131">
        <f t="shared" ref="K17" si="8">J17*H17</f>
        <v>0</v>
      </c>
      <c r="L17" s="132"/>
    </row>
    <row r="18" spans="1:12" s="133" customFormat="1" ht="18.75" x14ac:dyDescent="0.2">
      <c r="A18" s="112">
        <f>IF(F18&lt;&gt;"",1+MAX($A$1:A17),"")</f>
        <v>6</v>
      </c>
      <c r="B18" s="122" t="s">
        <v>143</v>
      </c>
      <c r="C18" s="123"/>
      <c r="D18" s="144"/>
      <c r="E18" s="125" t="s">
        <v>79</v>
      </c>
      <c r="F18" s="126">
        <f>774.8</f>
        <v>774.8</v>
      </c>
      <c r="G18" s="127">
        <v>0</v>
      </c>
      <c r="H18" s="128">
        <f t="shared" ref="H18" si="9">F18*(1+G18)</f>
        <v>774.8</v>
      </c>
      <c r="I18" s="129" t="s">
        <v>18</v>
      </c>
      <c r="J18" s="130">
        <v>0</v>
      </c>
      <c r="K18" s="131">
        <f t="shared" ref="K18" si="10">J18*H18</f>
        <v>0</v>
      </c>
      <c r="L18" s="132"/>
    </row>
    <row r="19" spans="1:12" s="133" customFormat="1" ht="18.75" x14ac:dyDescent="0.2">
      <c r="A19" s="112">
        <f>IF(F19&lt;&gt;"",1+MAX($A$1:A18),"")</f>
        <v>7</v>
      </c>
      <c r="B19" s="122" t="s">
        <v>143</v>
      </c>
      <c r="C19" s="123"/>
      <c r="D19" s="144"/>
      <c r="E19" s="125" t="s">
        <v>128</v>
      </c>
      <c r="F19" s="126">
        <f>772.6</f>
        <v>772.6</v>
      </c>
      <c r="G19" s="127">
        <v>0</v>
      </c>
      <c r="H19" s="128">
        <f t="shared" ref="H19" si="11">F19*(1+G19)</f>
        <v>772.6</v>
      </c>
      <c r="I19" s="129" t="s">
        <v>18</v>
      </c>
      <c r="J19" s="130">
        <v>0</v>
      </c>
      <c r="K19" s="131">
        <f t="shared" ref="K19" si="12">J19*H19</f>
        <v>0</v>
      </c>
      <c r="L19" s="132"/>
    </row>
    <row r="20" spans="1:12" s="133" customFormat="1" ht="18.75" x14ac:dyDescent="0.2">
      <c r="A20" s="112">
        <f>IF(F20&lt;&gt;"",1+MAX($A$1:A19),"")</f>
        <v>8</v>
      </c>
      <c r="B20" s="122" t="s">
        <v>143</v>
      </c>
      <c r="C20" s="123"/>
      <c r="D20" s="144"/>
      <c r="E20" s="125" t="s">
        <v>139</v>
      </c>
      <c r="F20" s="126">
        <f>2+1</f>
        <v>3</v>
      </c>
      <c r="G20" s="127">
        <v>0</v>
      </c>
      <c r="H20" s="128">
        <f t="shared" ref="H20" si="13">F20*(1+G20)</f>
        <v>3</v>
      </c>
      <c r="I20" s="129" t="s">
        <v>59</v>
      </c>
      <c r="J20" s="130">
        <v>0</v>
      </c>
      <c r="K20" s="131">
        <f t="shared" ref="K20" si="14">J20*H20</f>
        <v>0</v>
      </c>
      <c r="L20" s="132"/>
    </row>
    <row r="21" spans="1:12" s="133" customFormat="1" ht="18.75" x14ac:dyDescent="0.2">
      <c r="A21" s="112">
        <f>IF(F21&lt;&gt;"",1+MAX($A$1:A20),"")</f>
        <v>9</v>
      </c>
      <c r="B21" s="122" t="s">
        <v>143</v>
      </c>
      <c r="C21" s="123"/>
      <c r="D21" s="144"/>
      <c r="E21" s="125" t="s">
        <v>140</v>
      </c>
      <c r="F21" s="126">
        <v>1</v>
      </c>
      <c r="G21" s="127">
        <v>0</v>
      </c>
      <c r="H21" s="128">
        <f t="shared" ref="H21:H23" si="15">F21*(1+G21)</f>
        <v>1</v>
      </c>
      <c r="I21" s="129" t="s">
        <v>59</v>
      </c>
      <c r="J21" s="130">
        <v>0</v>
      </c>
      <c r="K21" s="131">
        <f t="shared" ref="K21" si="16">J21*H21</f>
        <v>0</v>
      </c>
      <c r="L21" s="132"/>
    </row>
    <row r="22" spans="1:12" s="133" customFormat="1" ht="31.5" x14ac:dyDescent="0.2">
      <c r="A22" s="112">
        <f>IF(F22&lt;&gt;"",1+MAX($A$1:A21),"")</f>
        <v>10</v>
      </c>
      <c r="B22" s="122" t="s">
        <v>194</v>
      </c>
      <c r="C22" s="123"/>
      <c r="D22" s="124"/>
      <c r="E22" s="125" t="s">
        <v>195</v>
      </c>
      <c r="F22" s="126">
        <v>475</v>
      </c>
      <c r="G22" s="127">
        <v>0</v>
      </c>
      <c r="H22" s="128">
        <f t="shared" si="15"/>
        <v>475</v>
      </c>
      <c r="I22" s="129" t="s">
        <v>18</v>
      </c>
      <c r="J22" s="130">
        <v>0</v>
      </c>
      <c r="K22" s="131">
        <f>J22*H22</f>
        <v>0</v>
      </c>
      <c r="L22" s="132"/>
    </row>
    <row r="23" spans="1:12" s="133" customFormat="1" ht="31.5" x14ac:dyDescent="0.2">
      <c r="A23" s="112">
        <f>IF(F23&lt;&gt;"",1+MAX($A$1:A22),"")</f>
        <v>11</v>
      </c>
      <c r="B23" s="122" t="s">
        <v>194</v>
      </c>
      <c r="C23" s="123"/>
      <c r="D23" s="124"/>
      <c r="E23" s="125" t="s">
        <v>196</v>
      </c>
      <c r="F23" s="126">
        <v>259</v>
      </c>
      <c r="G23" s="127">
        <v>0</v>
      </c>
      <c r="H23" s="128">
        <f t="shared" si="15"/>
        <v>259</v>
      </c>
      <c r="I23" s="129" t="s">
        <v>18</v>
      </c>
      <c r="J23" s="130">
        <v>0</v>
      </c>
      <c r="K23" s="131">
        <f>J23*H23</f>
        <v>0</v>
      </c>
      <c r="L23" s="132"/>
    </row>
    <row r="24" spans="1:12" s="1" customFormat="1" ht="16.5" thickBot="1" x14ac:dyDescent="0.25">
      <c r="A24" s="112" t="str">
        <f>IF(F24&lt;&gt;"",1+MAX($A$1:A23),"")</f>
        <v/>
      </c>
      <c r="B24" s="43"/>
      <c r="C24" s="2"/>
      <c r="D24" s="39"/>
      <c r="F24" s="44"/>
      <c r="G24" s="45"/>
      <c r="H24" s="44"/>
      <c r="I24" s="46"/>
      <c r="J24" s="73"/>
      <c r="K24" s="65"/>
      <c r="L24" s="56"/>
    </row>
    <row r="25" spans="1:12" s="1" customFormat="1" ht="16.5" thickBot="1" x14ac:dyDescent="0.25">
      <c r="A25" s="112" t="str">
        <f>IF(F25&lt;&gt;"",1+MAX($A$1:A24),"")</f>
        <v/>
      </c>
      <c r="B25" s="2"/>
      <c r="C25" s="2"/>
      <c r="D25" s="39"/>
      <c r="E25" s="53" t="s">
        <v>77</v>
      </c>
      <c r="F25" s="29"/>
      <c r="G25" s="24"/>
      <c r="H25" s="4"/>
      <c r="I25" s="25"/>
      <c r="J25" s="74"/>
      <c r="K25" s="68"/>
      <c r="L25" s="57">
        <f>SUM(K13:K24)</f>
        <v>0</v>
      </c>
    </row>
    <row r="26" spans="1:12" s="143" customFormat="1" ht="19.5" thickBot="1" x14ac:dyDescent="0.25">
      <c r="A26" s="112" t="str">
        <f>IF(F26&lt;&gt;"",1+MAX($A$1:A25),"")</f>
        <v/>
      </c>
      <c r="B26" s="122"/>
      <c r="C26" s="123"/>
      <c r="D26" s="145"/>
      <c r="E26" s="138"/>
      <c r="F26" s="139"/>
      <c r="G26" s="127"/>
      <c r="H26" s="140"/>
      <c r="I26" s="141"/>
      <c r="J26" s="134"/>
      <c r="K26" s="142"/>
      <c r="L26" s="132"/>
    </row>
    <row r="27" spans="1:12" s="1" customFormat="1" ht="16.5" thickBot="1" x14ac:dyDescent="0.25">
      <c r="A27" s="112" t="str">
        <f>IF(F27&lt;&gt;"",1+MAX($A$1:A26),"")</f>
        <v/>
      </c>
      <c r="B27" s="30"/>
      <c r="C27" s="30"/>
      <c r="D27" s="383"/>
      <c r="E27" s="384" t="s">
        <v>197</v>
      </c>
      <c r="F27" s="221"/>
      <c r="G27" s="385"/>
      <c r="H27" s="208"/>
      <c r="I27" s="5"/>
      <c r="J27" s="239"/>
      <c r="K27" s="240"/>
      <c r="L27" s="20"/>
    </row>
    <row r="28" spans="1:12" s="133" customFormat="1" ht="47.25" x14ac:dyDescent="0.2">
      <c r="A28" s="112">
        <f>IF(F28&lt;&gt;"",1+MAX($A$1:A27),"")</f>
        <v>12</v>
      </c>
      <c r="B28" s="122" t="s">
        <v>194</v>
      </c>
      <c r="C28" s="123" t="s">
        <v>198</v>
      </c>
      <c r="D28" s="124"/>
      <c r="E28" s="125" t="s">
        <v>199</v>
      </c>
      <c r="F28" s="126">
        <f>475*7/27</f>
        <v>123.14814814814815</v>
      </c>
      <c r="G28" s="127">
        <v>7.0000000000000007E-2</v>
      </c>
      <c r="H28" s="128">
        <f t="shared" ref="H28:H29" si="17">F28*(1+G28)</f>
        <v>131.76851851851853</v>
      </c>
      <c r="I28" s="129" t="s">
        <v>114</v>
      </c>
      <c r="J28" s="130">
        <v>0</v>
      </c>
      <c r="K28" s="131">
        <f>J28*H28</f>
        <v>0</v>
      </c>
      <c r="L28" s="132"/>
    </row>
    <row r="29" spans="1:12" s="133" customFormat="1" ht="47.25" x14ac:dyDescent="0.2">
      <c r="A29" s="112">
        <f>IF(F29&lt;&gt;"",1+MAX($A$1:A28),"")</f>
        <v>13</v>
      </c>
      <c r="B29" s="122" t="s">
        <v>194</v>
      </c>
      <c r="C29" s="123" t="s">
        <v>198</v>
      </c>
      <c r="D29" s="124"/>
      <c r="E29" s="125" t="s">
        <v>200</v>
      </c>
      <c r="F29" s="126">
        <f>259*2/27</f>
        <v>19.185185185185187</v>
      </c>
      <c r="G29" s="127">
        <v>7.0000000000000007E-2</v>
      </c>
      <c r="H29" s="128">
        <f t="shared" si="17"/>
        <v>20.528148148148151</v>
      </c>
      <c r="I29" s="129" t="s">
        <v>114</v>
      </c>
      <c r="J29" s="134">
        <f>J$28</f>
        <v>0</v>
      </c>
      <c r="K29" s="131">
        <f>J29*H29</f>
        <v>0</v>
      </c>
      <c r="L29" s="132"/>
    </row>
    <row r="30" spans="1:12" s="1" customFormat="1" ht="16.5" thickBot="1" x14ac:dyDescent="0.25">
      <c r="A30" s="112" t="str">
        <f>IF(F30&lt;&gt;"",1+MAX($A$1:A29),"")</f>
        <v/>
      </c>
      <c r="B30" s="2"/>
      <c r="C30" s="2"/>
      <c r="D30" s="39"/>
      <c r="E30" s="53"/>
      <c r="F30" s="44"/>
      <c r="G30" s="45"/>
      <c r="H30" s="44"/>
      <c r="I30" s="46"/>
      <c r="J30" s="135"/>
      <c r="K30" s="65"/>
      <c r="L30" s="22"/>
    </row>
    <row r="31" spans="1:12" s="1" customFormat="1" ht="16.5" thickBot="1" x14ac:dyDescent="0.25">
      <c r="A31" s="112" t="str">
        <f>IF(F31&lt;&gt;"",1+MAX($A$1:A30),"")</f>
        <v/>
      </c>
      <c r="B31" s="2"/>
      <c r="C31" s="2"/>
      <c r="D31" s="39"/>
      <c r="E31" s="53" t="s">
        <v>251</v>
      </c>
      <c r="F31" s="29"/>
      <c r="G31" s="24"/>
      <c r="H31" s="4"/>
      <c r="I31" s="25"/>
      <c r="J31" s="113"/>
      <c r="K31" s="68"/>
      <c r="L31" s="136">
        <f>SUM(K27:K30)</f>
        <v>0</v>
      </c>
    </row>
    <row r="32" spans="1:12" s="143" customFormat="1" ht="19.5" thickBot="1" x14ac:dyDescent="0.25">
      <c r="A32" s="112" t="str">
        <f>IF(F32&lt;&gt;"",1+MAX($A$1:A31),"")</f>
        <v/>
      </c>
      <c r="B32" s="122"/>
      <c r="C32" s="123"/>
      <c r="D32" s="137"/>
      <c r="E32" s="138"/>
      <c r="F32" s="139"/>
      <c r="G32" s="127"/>
      <c r="H32" s="140"/>
      <c r="I32" s="141"/>
      <c r="J32" s="134"/>
      <c r="K32" s="142"/>
      <c r="L32" s="132"/>
    </row>
    <row r="33" spans="1:12" s="13" customFormat="1" ht="16.5" thickBot="1" x14ac:dyDescent="0.25">
      <c r="A33" s="112" t="str">
        <f>IF(F33&lt;&gt;"",1+MAX($A$1:A32),"")</f>
        <v/>
      </c>
      <c r="B33" s="60"/>
      <c r="C33" s="26"/>
      <c r="D33" s="26" t="s">
        <v>73</v>
      </c>
      <c r="E33" s="49" t="s">
        <v>113</v>
      </c>
      <c r="F33" s="28"/>
      <c r="G33" s="23"/>
      <c r="H33" s="23"/>
      <c r="I33" s="23"/>
      <c r="J33" s="70"/>
      <c r="K33" s="63"/>
      <c r="L33" s="20"/>
    </row>
    <row r="34" spans="1:12" s="1" customFormat="1" ht="16.5" thickBot="1" x14ac:dyDescent="0.25">
      <c r="A34" s="112" t="str">
        <f>IF(F34&lt;&gt;"",1+MAX($A$1:A33),"")</f>
        <v/>
      </c>
      <c r="B34" s="30"/>
      <c r="C34" s="218"/>
      <c r="D34" s="219"/>
      <c r="E34" s="220" t="s">
        <v>201</v>
      </c>
      <c r="F34" s="221"/>
      <c r="G34" s="222"/>
      <c r="H34" s="223"/>
      <c r="I34" s="224"/>
      <c r="J34" s="386"/>
      <c r="K34" s="230"/>
      <c r="L34" s="20"/>
    </row>
    <row r="35" spans="1:12" s="133" customFormat="1" ht="63" x14ac:dyDescent="0.2">
      <c r="A35" s="112" t="str">
        <f>IF(F35&lt;&gt;"",1+MAX($A$1:A34),"")</f>
        <v/>
      </c>
      <c r="B35" s="2"/>
      <c r="C35" s="123"/>
      <c r="D35" s="124"/>
      <c r="E35" s="387" t="s">
        <v>202</v>
      </c>
      <c r="F35" s="139"/>
      <c r="G35" s="127"/>
      <c r="H35" s="128"/>
      <c r="I35" s="25"/>
      <c r="J35" s="229"/>
      <c r="K35" s="131"/>
      <c r="L35" s="132"/>
    </row>
    <row r="36" spans="1:12" s="133" customFormat="1" ht="18.75" x14ac:dyDescent="0.2">
      <c r="A36" s="112">
        <f>IF(F36&lt;&gt;"",1+MAX($A$1:A35),"")</f>
        <v>14</v>
      </c>
      <c r="B36" s="122" t="s">
        <v>194</v>
      </c>
      <c r="C36" s="123" t="s">
        <v>198</v>
      </c>
      <c r="D36" s="124"/>
      <c r="E36" s="138" t="s">
        <v>203</v>
      </c>
      <c r="F36" s="388">
        <f>2.334*1.5*1/27</f>
        <v>0.12966666666666668</v>
      </c>
      <c r="G36" s="127">
        <v>7.0000000000000007E-2</v>
      </c>
      <c r="H36" s="389">
        <f t="shared" ref="H36:H40" si="18">F36*(1+G36)</f>
        <v>0.13874333333333336</v>
      </c>
      <c r="I36" s="129" t="s">
        <v>114</v>
      </c>
      <c r="J36" s="130">
        <v>0</v>
      </c>
      <c r="K36" s="131">
        <f t="shared" ref="K36:K40" si="19">J36*H36</f>
        <v>0</v>
      </c>
      <c r="L36" s="132"/>
    </row>
    <row r="37" spans="1:12" s="133" customFormat="1" ht="18.75" x14ac:dyDescent="0.2">
      <c r="A37" s="112">
        <f>IF(F37&lt;&gt;"",1+MAX($A$1:A36),"")</f>
        <v>15</v>
      </c>
      <c r="B37" s="122" t="s">
        <v>194</v>
      </c>
      <c r="C37" s="123" t="s">
        <v>198</v>
      </c>
      <c r="D37" s="124"/>
      <c r="E37" s="138" t="s">
        <v>204</v>
      </c>
      <c r="F37" s="139">
        <f>2*2.334*0.668*1.2</f>
        <v>3.7418687999999998</v>
      </c>
      <c r="G37" s="127">
        <v>7.0000000000000007E-2</v>
      </c>
      <c r="H37" s="128">
        <f t="shared" si="18"/>
        <v>4.0037996160000002</v>
      </c>
      <c r="I37" s="129" t="s">
        <v>115</v>
      </c>
      <c r="J37" s="130">
        <v>0</v>
      </c>
      <c r="K37" s="131">
        <f t="shared" si="19"/>
        <v>0</v>
      </c>
      <c r="L37" s="132"/>
    </row>
    <row r="38" spans="1:12" s="133" customFormat="1" ht="18.75" x14ac:dyDescent="0.2">
      <c r="A38" s="112">
        <f>IF(F38&lt;&gt;"",1+MAX($A$1:A37),"")</f>
        <v>16</v>
      </c>
      <c r="B38" s="122" t="s">
        <v>194</v>
      </c>
      <c r="C38" s="123" t="s">
        <v>198</v>
      </c>
      <c r="D38" s="124"/>
      <c r="E38" s="138" t="s">
        <v>205</v>
      </c>
      <c r="F38" s="139">
        <f>((2.334*12/24)+1)*1.5*0.668*1.2</f>
        <v>2.6056007999999999</v>
      </c>
      <c r="G38" s="127">
        <v>7.0000000000000007E-2</v>
      </c>
      <c r="H38" s="128">
        <f t="shared" si="18"/>
        <v>2.7879928560000002</v>
      </c>
      <c r="I38" s="129" t="s">
        <v>115</v>
      </c>
      <c r="J38" s="134">
        <f>J$37</f>
        <v>0</v>
      </c>
      <c r="K38" s="131">
        <f t="shared" si="19"/>
        <v>0</v>
      </c>
      <c r="L38" s="132"/>
    </row>
    <row r="39" spans="1:12" s="133" customFormat="1" ht="18.75" x14ac:dyDescent="0.2">
      <c r="A39" s="112">
        <f>IF(F39&lt;&gt;"",1+MAX($A$1:A38),"")</f>
        <v>17</v>
      </c>
      <c r="B39" s="122" t="s">
        <v>194</v>
      </c>
      <c r="C39" s="123" t="s">
        <v>198</v>
      </c>
      <c r="D39" s="124"/>
      <c r="E39" s="138" t="s">
        <v>116</v>
      </c>
      <c r="F39" s="139">
        <f>2.334*1</f>
        <v>2.3340000000000001</v>
      </c>
      <c r="G39" s="127">
        <v>7.0000000000000007E-2</v>
      </c>
      <c r="H39" s="128">
        <f t="shared" si="18"/>
        <v>2.4973800000000002</v>
      </c>
      <c r="I39" s="129" t="s">
        <v>117</v>
      </c>
      <c r="J39" s="130">
        <v>0</v>
      </c>
      <c r="K39" s="131">
        <f t="shared" si="19"/>
        <v>0</v>
      </c>
      <c r="L39" s="132"/>
    </row>
    <row r="40" spans="1:12" s="133" customFormat="1" ht="18.75" x14ac:dyDescent="0.2">
      <c r="A40" s="112">
        <f>IF(F40&lt;&gt;"",1+MAX($A$1:A39),"")</f>
        <v>18</v>
      </c>
      <c r="B40" s="122" t="s">
        <v>194</v>
      </c>
      <c r="C40" s="123" t="s">
        <v>198</v>
      </c>
      <c r="D40" s="124"/>
      <c r="E40" s="138" t="s">
        <v>118</v>
      </c>
      <c r="F40" s="388">
        <f>2.334*1.5*2/27</f>
        <v>0.25933333333333336</v>
      </c>
      <c r="G40" s="127">
        <v>7.0000000000000007E-2</v>
      </c>
      <c r="H40" s="389">
        <f t="shared" si="18"/>
        <v>0.27748666666666671</v>
      </c>
      <c r="I40" s="129" t="s">
        <v>114</v>
      </c>
      <c r="J40" s="130">
        <v>0</v>
      </c>
      <c r="K40" s="131">
        <f t="shared" si="19"/>
        <v>0</v>
      </c>
      <c r="L40" s="132"/>
    </row>
    <row r="41" spans="1:12" s="133" customFormat="1" ht="18.75" x14ac:dyDescent="0.2">
      <c r="A41" s="112" t="str">
        <f>IF(F41&lt;&gt;"",1+MAX($A$1:A40),"")</f>
        <v/>
      </c>
      <c r="B41" s="2"/>
      <c r="C41" s="123"/>
      <c r="D41" s="124"/>
      <c r="E41" s="138"/>
      <c r="F41" s="139"/>
      <c r="G41" s="127"/>
      <c r="H41" s="128"/>
      <c r="I41" s="129"/>
      <c r="J41" s="134"/>
      <c r="K41" s="131"/>
      <c r="L41" s="132"/>
    </row>
    <row r="42" spans="1:12" s="133" customFormat="1" ht="63" x14ac:dyDescent="0.2">
      <c r="A42" s="112" t="str">
        <f>IF(F42&lt;&gt;"",1+MAX($A$1:A41),"")</f>
        <v/>
      </c>
      <c r="B42" s="2"/>
      <c r="C42" s="123"/>
      <c r="D42" s="124"/>
      <c r="E42" s="387" t="s">
        <v>206</v>
      </c>
      <c r="F42" s="139"/>
      <c r="G42" s="127"/>
      <c r="H42" s="128"/>
      <c r="I42" s="25"/>
      <c r="J42" s="229"/>
      <c r="K42" s="131"/>
      <c r="L42" s="132"/>
    </row>
    <row r="43" spans="1:12" s="133" customFormat="1" ht="18.75" x14ac:dyDescent="0.2">
      <c r="A43" s="112">
        <f>IF(F43&lt;&gt;"",1+MAX($A$1:A42),"")</f>
        <v>19</v>
      </c>
      <c r="B43" s="122" t="s">
        <v>194</v>
      </c>
      <c r="C43" s="123" t="s">
        <v>198</v>
      </c>
      <c r="D43" s="124"/>
      <c r="E43" s="138" t="s">
        <v>203</v>
      </c>
      <c r="F43" s="390">
        <f>2.334*1*7.334/27</f>
        <v>0.63398355555555552</v>
      </c>
      <c r="G43" s="127">
        <v>7.0000000000000007E-2</v>
      </c>
      <c r="H43" s="128">
        <f t="shared" ref="H43:H47" si="20">F43*(1+G43)</f>
        <v>0.6783624044444444</v>
      </c>
      <c r="I43" s="129" t="s">
        <v>114</v>
      </c>
      <c r="J43" s="229">
        <f>J$36</f>
        <v>0</v>
      </c>
      <c r="K43" s="131">
        <f t="shared" ref="K43:K47" si="21">J43*H43</f>
        <v>0</v>
      </c>
      <c r="L43" s="132"/>
    </row>
    <row r="44" spans="1:12" s="133" customFormat="1" ht="18.75" x14ac:dyDescent="0.2">
      <c r="A44" s="112">
        <f>IF(F44&lt;&gt;"",1+MAX($A$1:A43),"")</f>
        <v>20</v>
      </c>
      <c r="B44" s="122" t="s">
        <v>194</v>
      </c>
      <c r="C44" s="123" t="s">
        <v>198</v>
      </c>
      <c r="D44" s="124"/>
      <c r="E44" s="138" t="s">
        <v>207</v>
      </c>
      <c r="F44" s="139">
        <f>2*2.334*0.668*1.2*3</f>
        <v>11.2256064</v>
      </c>
      <c r="G44" s="127">
        <v>7.0000000000000007E-2</v>
      </c>
      <c r="H44" s="128">
        <f t="shared" si="20"/>
        <v>12.011398848000001</v>
      </c>
      <c r="I44" s="129" t="s">
        <v>115</v>
      </c>
      <c r="J44" s="134">
        <f t="shared" ref="J44:J45" si="22">J$37</f>
        <v>0</v>
      </c>
      <c r="K44" s="131">
        <f t="shared" si="21"/>
        <v>0</v>
      </c>
      <c r="L44" s="132"/>
    </row>
    <row r="45" spans="1:12" s="133" customFormat="1" ht="18.75" x14ac:dyDescent="0.2">
      <c r="A45" s="112">
        <f>IF(F45&lt;&gt;"",1+MAX($A$1:A44),"")</f>
        <v>21</v>
      </c>
      <c r="B45" s="122" t="s">
        <v>194</v>
      </c>
      <c r="C45" s="123" t="s">
        <v>198</v>
      </c>
      <c r="D45" s="124"/>
      <c r="E45" s="138" t="s">
        <v>208</v>
      </c>
      <c r="F45" s="139">
        <f>((2.334*12/16)+1)*7.334*0.668*1.2*2</f>
        <v>32.340018134400005</v>
      </c>
      <c r="G45" s="127">
        <v>7.0000000000000007E-2</v>
      </c>
      <c r="H45" s="128">
        <f t="shared" si="20"/>
        <v>34.603819403808004</v>
      </c>
      <c r="I45" s="129" t="s">
        <v>115</v>
      </c>
      <c r="J45" s="134">
        <f t="shared" si="22"/>
        <v>0</v>
      </c>
      <c r="K45" s="131">
        <f t="shared" si="21"/>
        <v>0</v>
      </c>
      <c r="L45" s="132"/>
    </row>
    <row r="46" spans="1:12" s="133" customFormat="1" ht="18.75" x14ac:dyDescent="0.2">
      <c r="A46" s="112">
        <f>IF(F46&lt;&gt;"",1+MAX($A$1:A45),"")</f>
        <v>22</v>
      </c>
      <c r="B46" s="122" t="s">
        <v>194</v>
      </c>
      <c r="C46" s="123" t="s">
        <v>198</v>
      </c>
      <c r="D46" s="124"/>
      <c r="E46" s="138" t="s">
        <v>116</v>
      </c>
      <c r="F46" s="139">
        <f>2.334*7.334</f>
        <v>17.117556</v>
      </c>
      <c r="G46" s="127">
        <v>7.0000000000000007E-2</v>
      </c>
      <c r="H46" s="128">
        <f t="shared" si="20"/>
        <v>18.315784920000002</v>
      </c>
      <c r="I46" s="129" t="s">
        <v>117</v>
      </c>
      <c r="J46" s="134">
        <f>J$39</f>
        <v>0</v>
      </c>
      <c r="K46" s="131">
        <f t="shared" si="21"/>
        <v>0</v>
      </c>
      <c r="L46" s="132"/>
    </row>
    <row r="47" spans="1:12" s="133" customFormat="1" ht="18.75" x14ac:dyDescent="0.2">
      <c r="A47" s="112">
        <f>IF(F47&lt;&gt;"",1+MAX($A$1:A46),"")</f>
        <v>23</v>
      </c>
      <c r="B47" s="122" t="s">
        <v>194</v>
      </c>
      <c r="C47" s="123" t="s">
        <v>198</v>
      </c>
      <c r="D47" s="124"/>
      <c r="E47" s="138" t="s">
        <v>118</v>
      </c>
      <c r="F47" s="390">
        <f>2.334*1*7.334/27</f>
        <v>0.63398355555555552</v>
      </c>
      <c r="G47" s="127">
        <v>7.0000000000000007E-2</v>
      </c>
      <c r="H47" s="128">
        <f t="shared" si="20"/>
        <v>0.6783624044444444</v>
      </c>
      <c r="I47" s="129" t="s">
        <v>114</v>
      </c>
      <c r="J47" s="134">
        <f>J$40</f>
        <v>0</v>
      </c>
      <c r="K47" s="131">
        <f t="shared" si="21"/>
        <v>0</v>
      </c>
      <c r="L47" s="132"/>
    </row>
    <row r="48" spans="1:12" s="133" customFormat="1" ht="18.75" x14ac:dyDescent="0.2">
      <c r="A48" s="112" t="str">
        <f>IF(F48&lt;&gt;"",1+MAX($A$1:A47),"")</f>
        <v/>
      </c>
      <c r="B48" s="2"/>
      <c r="C48" s="123"/>
      <c r="D48" s="124"/>
      <c r="E48" s="138"/>
      <c r="F48" s="139"/>
      <c r="G48" s="127"/>
      <c r="H48" s="128"/>
      <c r="I48" s="129"/>
      <c r="J48" s="134"/>
      <c r="K48" s="131"/>
      <c r="L48" s="132"/>
    </row>
    <row r="49" spans="1:12" s="133" customFormat="1" ht="18.75" x14ac:dyDescent="0.2">
      <c r="A49" s="112">
        <f>IF(F49&lt;&gt;"",1+MAX($A$1:A48),"")</f>
        <v>24</v>
      </c>
      <c r="B49" s="2"/>
      <c r="C49" s="123"/>
      <c r="D49" s="124"/>
      <c r="E49" s="387" t="s">
        <v>247</v>
      </c>
      <c r="F49" s="139">
        <v>3</v>
      </c>
      <c r="G49" s="127">
        <v>0</v>
      </c>
      <c r="H49" s="128">
        <f t="shared" ref="H49" si="23">F49*(1+G49)</f>
        <v>3</v>
      </c>
      <c r="I49" s="129" t="s">
        <v>209</v>
      </c>
      <c r="J49" s="430">
        <f>SUM(K35:K48)</f>
        <v>0</v>
      </c>
      <c r="K49" s="131">
        <f>J49*H49</f>
        <v>0</v>
      </c>
      <c r="L49" s="132"/>
    </row>
    <row r="50" spans="1:12" s="143" customFormat="1" ht="18.75" x14ac:dyDescent="0.2">
      <c r="A50" s="112" t="str">
        <f>IF(F50&lt;&gt;"",1+MAX($A$1:A49),"")</f>
        <v/>
      </c>
      <c r="B50" s="2"/>
      <c r="C50" s="123"/>
      <c r="D50" s="145"/>
      <c r="E50" s="387"/>
      <c r="F50" s="139"/>
      <c r="G50" s="127"/>
      <c r="H50" s="140"/>
      <c r="I50" s="141"/>
      <c r="J50" s="139"/>
      <c r="K50" s="142"/>
      <c r="L50" s="132"/>
    </row>
    <row r="51" spans="1:12" s="133" customFormat="1" ht="63" x14ac:dyDescent="0.2">
      <c r="A51" s="112" t="str">
        <f>IF(F51&lt;&gt;"",1+MAX($A$1:A50),"")</f>
        <v/>
      </c>
      <c r="B51" s="2"/>
      <c r="C51" s="123"/>
      <c r="D51" s="124"/>
      <c r="E51" s="387" t="s">
        <v>210</v>
      </c>
      <c r="F51" s="139"/>
      <c r="G51" s="127"/>
      <c r="H51" s="128"/>
      <c r="I51" s="25"/>
      <c r="J51" s="229"/>
      <c r="K51" s="131"/>
      <c r="L51" s="132"/>
    </row>
    <row r="52" spans="1:12" s="133" customFormat="1" ht="18.75" x14ac:dyDescent="0.2">
      <c r="A52" s="112">
        <f>IF(F52&lt;&gt;"",1+MAX($A$1:A51),"")</f>
        <v>25</v>
      </c>
      <c r="B52" s="122" t="s">
        <v>194</v>
      </c>
      <c r="C52" s="123" t="s">
        <v>198</v>
      </c>
      <c r="D52" s="124"/>
      <c r="E52" s="138" t="s">
        <v>203</v>
      </c>
      <c r="F52" s="388">
        <f>3*1.5*1/27</f>
        <v>0.16666666666666666</v>
      </c>
      <c r="G52" s="127">
        <v>7.0000000000000007E-2</v>
      </c>
      <c r="H52" s="389">
        <f t="shared" ref="H52:H56" si="24">F52*(1+G52)</f>
        <v>0.17833333333333334</v>
      </c>
      <c r="I52" s="129" t="s">
        <v>114</v>
      </c>
      <c r="J52" s="229">
        <f>J$36</f>
        <v>0</v>
      </c>
      <c r="K52" s="131">
        <f t="shared" ref="K52:K56" si="25">J52*H52</f>
        <v>0</v>
      </c>
      <c r="L52" s="132"/>
    </row>
    <row r="53" spans="1:12" s="133" customFormat="1" ht="18.75" x14ac:dyDescent="0.2">
      <c r="A53" s="112">
        <f>IF(F53&lt;&gt;"",1+MAX($A$1:A52),"")</f>
        <v>26</v>
      </c>
      <c r="B53" s="122" t="s">
        <v>194</v>
      </c>
      <c r="C53" s="123" t="s">
        <v>198</v>
      </c>
      <c r="D53" s="124"/>
      <c r="E53" s="138" t="s">
        <v>204</v>
      </c>
      <c r="F53" s="139">
        <f>2*3*0.668*1.2</f>
        <v>4.8095999999999997</v>
      </c>
      <c r="G53" s="127">
        <v>7.0000000000000007E-2</v>
      </c>
      <c r="H53" s="128">
        <f t="shared" si="24"/>
        <v>5.1462719999999997</v>
      </c>
      <c r="I53" s="129" t="s">
        <v>115</v>
      </c>
      <c r="J53" s="134">
        <f t="shared" ref="J53:J54" si="26">J$37</f>
        <v>0</v>
      </c>
      <c r="K53" s="131">
        <f t="shared" si="25"/>
        <v>0</v>
      </c>
      <c r="L53" s="132"/>
    </row>
    <row r="54" spans="1:12" s="133" customFormat="1" ht="18.75" x14ac:dyDescent="0.2">
      <c r="A54" s="112">
        <f>IF(F54&lt;&gt;"",1+MAX($A$1:A53),"")</f>
        <v>27</v>
      </c>
      <c r="B54" s="122" t="s">
        <v>194</v>
      </c>
      <c r="C54" s="123" t="s">
        <v>198</v>
      </c>
      <c r="D54" s="124"/>
      <c r="E54" s="138" t="s">
        <v>205</v>
      </c>
      <c r="F54" s="139">
        <f>((3*12/24)+1)*1.5*0.668*1.2</f>
        <v>3.0060000000000002</v>
      </c>
      <c r="G54" s="127">
        <v>7.0000000000000007E-2</v>
      </c>
      <c r="H54" s="128">
        <f t="shared" si="24"/>
        <v>3.2164200000000003</v>
      </c>
      <c r="I54" s="129" t="s">
        <v>115</v>
      </c>
      <c r="J54" s="134">
        <f t="shared" si="26"/>
        <v>0</v>
      </c>
      <c r="K54" s="131">
        <f t="shared" si="25"/>
        <v>0</v>
      </c>
      <c r="L54" s="132"/>
    </row>
    <row r="55" spans="1:12" s="133" customFormat="1" ht="18.75" x14ac:dyDescent="0.2">
      <c r="A55" s="112">
        <f>IF(F55&lt;&gt;"",1+MAX($A$1:A54),"")</f>
        <v>28</v>
      </c>
      <c r="B55" s="122" t="s">
        <v>194</v>
      </c>
      <c r="C55" s="123" t="s">
        <v>198</v>
      </c>
      <c r="D55" s="124"/>
      <c r="E55" s="138" t="s">
        <v>116</v>
      </c>
      <c r="F55" s="139">
        <f>3*1</f>
        <v>3</v>
      </c>
      <c r="G55" s="127">
        <v>7.0000000000000007E-2</v>
      </c>
      <c r="H55" s="128">
        <f t="shared" si="24"/>
        <v>3.21</v>
      </c>
      <c r="I55" s="129" t="s">
        <v>117</v>
      </c>
      <c r="J55" s="134">
        <f>J$39</f>
        <v>0</v>
      </c>
      <c r="K55" s="131">
        <f t="shared" si="25"/>
        <v>0</v>
      </c>
      <c r="L55" s="132"/>
    </row>
    <row r="56" spans="1:12" s="133" customFormat="1" ht="18.75" x14ac:dyDescent="0.2">
      <c r="A56" s="112">
        <f>IF(F56&lt;&gt;"",1+MAX($A$1:A55),"")</f>
        <v>29</v>
      </c>
      <c r="B56" s="122" t="s">
        <v>194</v>
      </c>
      <c r="C56" s="123" t="s">
        <v>198</v>
      </c>
      <c r="D56" s="124"/>
      <c r="E56" s="138" t="s">
        <v>118</v>
      </c>
      <c r="F56" s="388">
        <f>3*1.5*2/27</f>
        <v>0.33333333333333331</v>
      </c>
      <c r="G56" s="127">
        <v>7.0000000000000007E-2</v>
      </c>
      <c r="H56" s="389">
        <f t="shared" si="24"/>
        <v>0.35666666666666669</v>
      </c>
      <c r="I56" s="129" t="s">
        <v>114</v>
      </c>
      <c r="J56" s="134">
        <f>J$40</f>
        <v>0</v>
      </c>
      <c r="K56" s="131">
        <f t="shared" si="25"/>
        <v>0</v>
      </c>
      <c r="L56" s="132"/>
    </row>
    <row r="57" spans="1:12" s="133" customFormat="1" ht="18.75" x14ac:dyDescent="0.2">
      <c r="A57" s="112" t="str">
        <f>IF(F57&lt;&gt;"",1+MAX($A$1:A56),"")</f>
        <v/>
      </c>
      <c r="B57" s="2"/>
      <c r="C57" s="123"/>
      <c r="D57" s="124"/>
      <c r="E57" s="138"/>
      <c r="F57" s="139"/>
      <c r="G57" s="127"/>
      <c r="H57" s="128"/>
      <c r="I57" s="129"/>
      <c r="J57" s="134"/>
      <c r="K57" s="131"/>
      <c r="L57" s="132"/>
    </row>
    <row r="58" spans="1:12" s="133" customFormat="1" ht="63" x14ac:dyDescent="0.2">
      <c r="A58" s="112" t="str">
        <f>IF(F58&lt;&gt;"",1+MAX($A$1:A57),"")</f>
        <v/>
      </c>
      <c r="B58" s="2"/>
      <c r="C58" s="123"/>
      <c r="D58" s="124"/>
      <c r="E58" s="387" t="s">
        <v>211</v>
      </c>
      <c r="F58" s="139"/>
      <c r="G58" s="127"/>
      <c r="H58" s="128"/>
      <c r="I58" s="25"/>
      <c r="J58" s="229"/>
      <c r="K58" s="131"/>
      <c r="L58" s="132"/>
    </row>
    <row r="59" spans="1:12" s="133" customFormat="1" ht="18.75" x14ac:dyDescent="0.2">
      <c r="A59" s="112">
        <f>IF(F59&lt;&gt;"",1+MAX($A$1:A58),"")</f>
        <v>30</v>
      </c>
      <c r="B59" s="122" t="s">
        <v>194</v>
      </c>
      <c r="C59" s="123" t="s">
        <v>198</v>
      </c>
      <c r="D59" s="124"/>
      <c r="E59" s="138" t="s">
        <v>203</v>
      </c>
      <c r="F59" s="390">
        <f>3*1*7.334/27</f>
        <v>0.81488888888888888</v>
      </c>
      <c r="G59" s="127">
        <v>7.0000000000000007E-2</v>
      </c>
      <c r="H59" s="128">
        <f t="shared" ref="H59:H63" si="27">F59*(1+G59)</f>
        <v>0.87193111111111121</v>
      </c>
      <c r="I59" s="129" t="s">
        <v>114</v>
      </c>
      <c r="J59" s="229">
        <f>J$36</f>
        <v>0</v>
      </c>
      <c r="K59" s="131">
        <f t="shared" ref="K59:K63" si="28">J59*H59</f>
        <v>0</v>
      </c>
      <c r="L59" s="132"/>
    </row>
    <row r="60" spans="1:12" s="133" customFormat="1" ht="18.75" x14ac:dyDescent="0.2">
      <c r="A60" s="112">
        <f>IF(F60&lt;&gt;"",1+MAX($A$1:A59),"")</f>
        <v>31</v>
      </c>
      <c r="B60" s="122" t="s">
        <v>194</v>
      </c>
      <c r="C60" s="123" t="s">
        <v>198</v>
      </c>
      <c r="D60" s="124"/>
      <c r="E60" s="138" t="s">
        <v>207</v>
      </c>
      <c r="F60" s="139">
        <f>2*3*0.668*1.2*3</f>
        <v>14.428799999999999</v>
      </c>
      <c r="G60" s="127">
        <v>7.0000000000000007E-2</v>
      </c>
      <c r="H60" s="128">
        <f t="shared" si="27"/>
        <v>15.438815999999999</v>
      </c>
      <c r="I60" s="129" t="s">
        <v>115</v>
      </c>
      <c r="J60" s="134">
        <f t="shared" ref="J60:J61" si="29">J$37</f>
        <v>0</v>
      </c>
      <c r="K60" s="131">
        <f t="shared" si="28"/>
        <v>0</v>
      </c>
      <c r="L60" s="132"/>
    </row>
    <row r="61" spans="1:12" s="133" customFormat="1" ht="18.75" x14ac:dyDescent="0.2">
      <c r="A61" s="112">
        <f>IF(F61&lt;&gt;"",1+MAX($A$1:A60),"")</f>
        <v>32</v>
      </c>
      <c r="B61" s="122" t="s">
        <v>194</v>
      </c>
      <c r="C61" s="123" t="s">
        <v>198</v>
      </c>
      <c r="D61" s="124"/>
      <c r="E61" s="138" t="s">
        <v>208</v>
      </c>
      <c r="F61" s="139">
        <f>((3*12/16)+1)*7.334*0.668*1.2*2</f>
        <v>38.213073600000001</v>
      </c>
      <c r="G61" s="127">
        <v>7.0000000000000007E-2</v>
      </c>
      <c r="H61" s="128">
        <f t="shared" si="27"/>
        <v>40.887988752000005</v>
      </c>
      <c r="I61" s="129" t="s">
        <v>115</v>
      </c>
      <c r="J61" s="134">
        <f t="shared" si="29"/>
        <v>0</v>
      </c>
      <c r="K61" s="131">
        <f t="shared" si="28"/>
        <v>0</v>
      </c>
      <c r="L61" s="132"/>
    </row>
    <row r="62" spans="1:12" s="133" customFormat="1" ht="18.75" x14ac:dyDescent="0.2">
      <c r="A62" s="112">
        <f>IF(F62&lt;&gt;"",1+MAX($A$1:A61),"")</f>
        <v>33</v>
      </c>
      <c r="B62" s="122" t="s">
        <v>194</v>
      </c>
      <c r="C62" s="123" t="s">
        <v>198</v>
      </c>
      <c r="D62" s="124"/>
      <c r="E62" s="138" t="s">
        <v>116</v>
      </c>
      <c r="F62" s="139">
        <f>3*7.334</f>
        <v>22.001999999999999</v>
      </c>
      <c r="G62" s="127">
        <v>7.0000000000000007E-2</v>
      </c>
      <c r="H62" s="128">
        <f t="shared" si="27"/>
        <v>23.54214</v>
      </c>
      <c r="I62" s="129" t="s">
        <v>117</v>
      </c>
      <c r="J62" s="134">
        <f>J$39</f>
        <v>0</v>
      </c>
      <c r="K62" s="131">
        <f t="shared" si="28"/>
        <v>0</v>
      </c>
      <c r="L62" s="132"/>
    </row>
    <row r="63" spans="1:12" s="133" customFormat="1" ht="18.75" x14ac:dyDescent="0.2">
      <c r="A63" s="112">
        <f>IF(F63&lt;&gt;"",1+MAX($A$1:A62),"")</f>
        <v>34</v>
      </c>
      <c r="B63" s="122" t="s">
        <v>194</v>
      </c>
      <c r="C63" s="123" t="s">
        <v>198</v>
      </c>
      <c r="D63" s="124"/>
      <c r="E63" s="138" t="s">
        <v>118</v>
      </c>
      <c r="F63" s="390">
        <f>3*1*7.334/27</f>
        <v>0.81488888888888888</v>
      </c>
      <c r="G63" s="127">
        <v>7.0000000000000007E-2</v>
      </c>
      <c r="H63" s="128">
        <f t="shared" si="27"/>
        <v>0.87193111111111121</v>
      </c>
      <c r="I63" s="129" t="s">
        <v>114</v>
      </c>
      <c r="J63" s="134">
        <f>J$40</f>
        <v>0</v>
      </c>
      <c r="K63" s="131">
        <f t="shared" si="28"/>
        <v>0</v>
      </c>
      <c r="L63" s="132"/>
    </row>
    <row r="64" spans="1:12" s="133" customFormat="1" ht="18.75" x14ac:dyDescent="0.2">
      <c r="A64" s="112" t="str">
        <f>IF(F64&lt;&gt;"",1+MAX($A$1:A63),"")</f>
        <v/>
      </c>
      <c r="B64" s="2"/>
      <c r="C64" s="123"/>
      <c r="D64" s="124"/>
      <c r="E64" s="138"/>
      <c r="F64" s="139"/>
      <c r="G64" s="127"/>
      <c r="H64" s="128"/>
      <c r="I64" s="129"/>
      <c r="J64" s="134"/>
      <c r="K64" s="131"/>
      <c r="L64" s="132"/>
    </row>
    <row r="65" spans="1:12" s="133" customFormat="1" ht="18.75" x14ac:dyDescent="0.2">
      <c r="A65" s="112">
        <f>IF(F65&lt;&gt;"",1+MAX($A$1:A64),"")</f>
        <v>35</v>
      </c>
      <c r="B65" s="2"/>
      <c r="C65" s="123"/>
      <c r="D65" s="124"/>
      <c r="E65" s="387" t="s">
        <v>247</v>
      </c>
      <c r="F65" s="139">
        <v>25</v>
      </c>
      <c r="G65" s="127">
        <v>0</v>
      </c>
      <c r="H65" s="128">
        <f t="shared" ref="H65" si="30">F65*(1+G65)</f>
        <v>25</v>
      </c>
      <c r="I65" s="129" t="s">
        <v>209</v>
      </c>
      <c r="J65" s="139">
        <f>SUM(K51:K64)</f>
        <v>0</v>
      </c>
      <c r="K65" s="131">
        <f>J65*H65</f>
        <v>0</v>
      </c>
      <c r="L65" s="132"/>
    </row>
    <row r="66" spans="1:12" s="143" customFormat="1" ht="18.75" x14ac:dyDescent="0.2">
      <c r="A66" s="112" t="str">
        <f>IF(F66&lt;&gt;"",1+MAX($A$1:A65),"")</f>
        <v/>
      </c>
      <c r="B66" s="2"/>
      <c r="C66" s="123"/>
      <c r="D66" s="145"/>
      <c r="E66" s="387"/>
      <c r="F66" s="139"/>
      <c r="G66" s="127"/>
      <c r="H66" s="140"/>
      <c r="I66" s="141"/>
      <c r="J66" s="139"/>
      <c r="K66" s="142"/>
      <c r="L66" s="132"/>
    </row>
    <row r="67" spans="1:12" s="133" customFormat="1" ht="63" x14ac:dyDescent="0.2">
      <c r="A67" s="112" t="str">
        <f>IF(F67&lt;&gt;"",1+MAX($A$1:A66),"")</f>
        <v/>
      </c>
      <c r="B67" s="2"/>
      <c r="C67" s="123"/>
      <c r="D67" s="124"/>
      <c r="E67" s="387" t="s">
        <v>212</v>
      </c>
      <c r="F67" s="139"/>
      <c r="G67" s="127"/>
      <c r="H67" s="128"/>
      <c r="I67" s="25"/>
      <c r="J67" s="229"/>
      <c r="K67" s="131"/>
      <c r="L67" s="132"/>
    </row>
    <row r="68" spans="1:12" s="133" customFormat="1" ht="18.75" x14ac:dyDescent="0.2">
      <c r="A68" s="112">
        <f>IF(F68&lt;&gt;"",1+MAX($A$1:A67),"")</f>
        <v>36</v>
      </c>
      <c r="B68" s="122" t="s">
        <v>194</v>
      </c>
      <c r="C68" s="123" t="s">
        <v>198</v>
      </c>
      <c r="D68" s="124"/>
      <c r="E68" s="138" t="s">
        <v>203</v>
      </c>
      <c r="F68" s="388">
        <f>3.25*1.5*1/27</f>
        <v>0.18055555555555555</v>
      </c>
      <c r="G68" s="127">
        <v>7.0000000000000007E-2</v>
      </c>
      <c r="H68" s="389">
        <f t="shared" ref="H68:H72" si="31">F68*(1+G68)</f>
        <v>0.19319444444444445</v>
      </c>
      <c r="I68" s="129" t="s">
        <v>114</v>
      </c>
      <c r="J68" s="229">
        <f>J$36</f>
        <v>0</v>
      </c>
      <c r="K68" s="131">
        <f t="shared" ref="K68:K72" si="32">J68*H68</f>
        <v>0</v>
      </c>
      <c r="L68" s="132"/>
    </row>
    <row r="69" spans="1:12" s="133" customFormat="1" ht="18.75" x14ac:dyDescent="0.2">
      <c r="A69" s="112">
        <f>IF(F69&lt;&gt;"",1+MAX($A$1:A68),"")</f>
        <v>37</v>
      </c>
      <c r="B69" s="122" t="s">
        <v>194</v>
      </c>
      <c r="C69" s="123" t="s">
        <v>198</v>
      </c>
      <c r="D69" s="124"/>
      <c r="E69" s="138" t="s">
        <v>204</v>
      </c>
      <c r="F69" s="139">
        <f>2*3.25*0.668*1.2</f>
        <v>5.2104000000000008</v>
      </c>
      <c r="G69" s="127">
        <v>7.0000000000000007E-2</v>
      </c>
      <c r="H69" s="128">
        <f t="shared" si="31"/>
        <v>5.5751280000000012</v>
      </c>
      <c r="I69" s="129" t="s">
        <v>115</v>
      </c>
      <c r="J69" s="134">
        <f t="shared" ref="J69:J70" si="33">J$37</f>
        <v>0</v>
      </c>
      <c r="K69" s="131">
        <f t="shared" si="32"/>
        <v>0</v>
      </c>
      <c r="L69" s="132"/>
    </row>
    <row r="70" spans="1:12" s="133" customFormat="1" ht="18.75" x14ac:dyDescent="0.2">
      <c r="A70" s="112">
        <f>IF(F70&lt;&gt;"",1+MAX($A$1:A69),"")</f>
        <v>38</v>
      </c>
      <c r="B70" s="122" t="s">
        <v>194</v>
      </c>
      <c r="C70" s="123" t="s">
        <v>198</v>
      </c>
      <c r="D70" s="124"/>
      <c r="E70" s="138" t="s">
        <v>205</v>
      </c>
      <c r="F70" s="139">
        <f>((3.25*12/24)+1)*1.5*0.668*1.2</f>
        <v>3.1563000000000003</v>
      </c>
      <c r="G70" s="127">
        <v>7.0000000000000007E-2</v>
      </c>
      <c r="H70" s="128">
        <f t="shared" si="31"/>
        <v>3.3772410000000006</v>
      </c>
      <c r="I70" s="129" t="s">
        <v>115</v>
      </c>
      <c r="J70" s="134">
        <f t="shared" si="33"/>
        <v>0</v>
      </c>
      <c r="K70" s="131">
        <f t="shared" si="32"/>
        <v>0</v>
      </c>
      <c r="L70" s="132"/>
    </row>
    <row r="71" spans="1:12" s="133" customFormat="1" ht="18.75" x14ac:dyDescent="0.2">
      <c r="A71" s="112">
        <f>IF(F71&lt;&gt;"",1+MAX($A$1:A70),"")</f>
        <v>39</v>
      </c>
      <c r="B71" s="122" t="s">
        <v>194</v>
      </c>
      <c r="C71" s="123" t="s">
        <v>198</v>
      </c>
      <c r="D71" s="124"/>
      <c r="E71" s="138" t="s">
        <v>116</v>
      </c>
      <c r="F71" s="139">
        <f>3.25*1</f>
        <v>3.25</v>
      </c>
      <c r="G71" s="127">
        <v>7.0000000000000007E-2</v>
      </c>
      <c r="H71" s="128">
        <f t="shared" si="31"/>
        <v>3.4775</v>
      </c>
      <c r="I71" s="129" t="s">
        <v>117</v>
      </c>
      <c r="J71" s="134">
        <f>J$39</f>
        <v>0</v>
      </c>
      <c r="K71" s="131">
        <f t="shared" si="32"/>
        <v>0</v>
      </c>
      <c r="L71" s="132"/>
    </row>
    <row r="72" spans="1:12" s="133" customFormat="1" ht="18.75" x14ac:dyDescent="0.2">
      <c r="A72" s="112">
        <f>IF(F72&lt;&gt;"",1+MAX($A$1:A71),"")</f>
        <v>40</v>
      </c>
      <c r="B72" s="122" t="s">
        <v>194</v>
      </c>
      <c r="C72" s="123" t="s">
        <v>198</v>
      </c>
      <c r="D72" s="124"/>
      <c r="E72" s="138" t="s">
        <v>118</v>
      </c>
      <c r="F72" s="388">
        <f>3.25*1.5*2/27</f>
        <v>0.3611111111111111</v>
      </c>
      <c r="G72" s="127">
        <v>7.0000000000000007E-2</v>
      </c>
      <c r="H72" s="389">
        <f t="shared" si="31"/>
        <v>0.38638888888888889</v>
      </c>
      <c r="I72" s="129" t="s">
        <v>114</v>
      </c>
      <c r="J72" s="134">
        <f>J$40</f>
        <v>0</v>
      </c>
      <c r="K72" s="131">
        <f t="shared" si="32"/>
        <v>0</v>
      </c>
      <c r="L72" s="132"/>
    </row>
    <row r="73" spans="1:12" s="133" customFormat="1" ht="18.75" x14ac:dyDescent="0.2">
      <c r="A73" s="112" t="str">
        <f>IF(F73&lt;&gt;"",1+MAX($A$1:A72),"")</f>
        <v/>
      </c>
      <c r="B73" s="2"/>
      <c r="C73" s="123"/>
      <c r="D73" s="124"/>
      <c r="E73" s="138"/>
      <c r="F73" s="139"/>
      <c r="G73" s="127"/>
      <c r="H73" s="128"/>
      <c r="I73" s="129"/>
      <c r="J73" s="134"/>
      <c r="K73" s="131"/>
      <c r="L73" s="132"/>
    </row>
    <row r="74" spans="1:12" s="133" customFormat="1" ht="63" x14ac:dyDescent="0.2">
      <c r="A74" s="112" t="str">
        <f>IF(F74&lt;&gt;"",1+MAX($A$1:A73),"")</f>
        <v/>
      </c>
      <c r="B74" s="2"/>
      <c r="C74" s="123"/>
      <c r="D74" s="124"/>
      <c r="E74" s="387" t="s">
        <v>213</v>
      </c>
      <c r="F74" s="139"/>
      <c r="G74" s="127"/>
      <c r="H74" s="128"/>
      <c r="I74" s="25"/>
      <c r="J74" s="229"/>
      <c r="K74" s="131"/>
      <c r="L74" s="132"/>
    </row>
    <row r="75" spans="1:12" s="133" customFormat="1" ht="18.75" x14ac:dyDescent="0.2">
      <c r="A75" s="112">
        <f>IF(F75&lt;&gt;"",1+MAX($A$1:A74),"")</f>
        <v>41</v>
      </c>
      <c r="B75" s="122" t="s">
        <v>194</v>
      </c>
      <c r="C75" s="123" t="s">
        <v>198</v>
      </c>
      <c r="D75" s="124"/>
      <c r="E75" s="138" t="s">
        <v>203</v>
      </c>
      <c r="F75" s="390">
        <f>3.25*1*7.334/27</f>
        <v>0.8827962962962963</v>
      </c>
      <c r="G75" s="127">
        <v>7.0000000000000007E-2</v>
      </c>
      <c r="H75" s="128">
        <f t="shared" ref="H75:H79" si="34">F75*(1+G75)</f>
        <v>0.94459203703703709</v>
      </c>
      <c r="I75" s="129" t="s">
        <v>114</v>
      </c>
      <c r="J75" s="229">
        <f>J$36</f>
        <v>0</v>
      </c>
      <c r="K75" s="131">
        <f t="shared" ref="K75:K79" si="35">J75*H75</f>
        <v>0</v>
      </c>
      <c r="L75" s="132"/>
    </row>
    <row r="76" spans="1:12" s="133" customFormat="1" ht="18.75" x14ac:dyDescent="0.2">
      <c r="A76" s="112">
        <f>IF(F76&lt;&gt;"",1+MAX($A$1:A75),"")</f>
        <v>42</v>
      </c>
      <c r="B76" s="122" t="s">
        <v>194</v>
      </c>
      <c r="C76" s="123" t="s">
        <v>198</v>
      </c>
      <c r="D76" s="124"/>
      <c r="E76" s="138" t="s">
        <v>207</v>
      </c>
      <c r="F76" s="139">
        <f>2*3.25*0.668*1.2*3</f>
        <v>15.631200000000003</v>
      </c>
      <c r="G76" s="127">
        <v>7.0000000000000007E-2</v>
      </c>
      <c r="H76" s="128">
        <f t="shared" si="34"/>
        <v>16.725384000000005</v>
      </c>
      <c r="I76" s="129" t="s">
        <v>115</v>
      </c>
      <c r="J76" s="134">
        <f t="shared" ref="J76:J77" si="36">J$37</f>
        <v>0</v>
      </c>
      <c r="K76" s="131">
        <f t="shared" si="35"/>
        <v>0</v>
      </c>
      <c r="L76" s="132"/>
    </row>
    <row r="77" spans="1:12" s="133" customFormat="1" ht="18.75" x14ac:dyDescent="0.2">
      <c r="A77" s="112">
        <f>IF(F77&lt;&gt;"",1+MAX($A$1:A76),"")</f>
        <v>43</v>
      </c>
      <c r="B77" s="122" t="s">
        <v>194</v>
      </c>
      <c r="C77" s="123" t="s">
        <v>198</v>
      </c>
      <c r="D77" s="124"/>
      <c r="E77" s="138" t="s">
        <v>208</v>
      </c>
      <c r="F77" s="139">
        <f>((3.25*12/16)+1)*7.334*0.668*1.2*2</f>
        <v>40.417673999999998</v>
      </c>
      <c r="G77" s="127">
        <v>7.0000000000000007E-2</v>
      </c>
      <c r="H77" s="128">
        <f t="shared" si="34"/>
        <v>43.246911179999998</v>
      </c>
      <c r="I77" s="129" t="s">
        <v>115</v>
      </c>
      <c r="J77" s="134">
        <f t="shared" si="36"/>
        <v>0</v>
      </c>
      <c r="K77" s="131">
        <f t="shared" si="35"/>
        <v>0</v>
      </c>
      <c r="L77" s="132"/>
    </row>
    <row r="78" spans="1:12" s="133" customFormat="1" ht="18.75" x14ac:dyDescent="0.2">
      <c r="A78" s="112">
        <f>IF(F78&lt;&gt;"",1+MAX($A$1:A77),"")</f>
        <v>44</v>
      </c>
      <c r="B78" s="122" t="s">
        <v>194</v>
      </c>
      <c r="C78" s="123" t="s">
        <v>198</v>
      </c>
      <c r="D78" s="124"/>
      <c r="E78" s="138" t="s">
        <v>116</v>
      </c>
      <c r="F78" s="139">
        <f>3.25*7.334</f>
        <v>23.8355</v>
      </c>
      <c r="G78" s="127">
        <v>7.0000000000000007E-2</v>
      </c>
      <c r="H78" s="128">
        <f t="shared" si="34"/>
        <v>25.503985</v>
      </c>
      <c r="I78" s="129" t="s">
        <v>117</v>
      </c>
      <c r="J78" s="134">
        <f>J$39</f>
        <v>0</v>
      </c>
      <c r="K78" s="131">
        <f t="shared" si="35"/>
        <v>0</v>
      </c>
      <c r="L78" s="132"/>
    </row>
    <row r="79" spans="1:12" s="133" customFormat="1" ht="18.75" x14ac:dyDescent="0.2">
      <c r="A79" s="112">
        <f>IF(F79&lt;&gt;"",1+MAX($A$1:A78),"")</f>
        <v>45</v>
      </c>
      <c r="B79" s="122" t="s">
        <v>194</v>
      </c>
      <c r="C79" s="123" t="s">
        <v>198</v>
      </c>
      <c r="D79" s="124"/>
      <c r="E79" s="138" t="s">
        <v>118</v>
      </c>
      <c r="F79" s="390">
        <f>3.25*1*7.334/27</f>
        <v>0.8827962962962963</v>
      </c>
      <c r="G79" s="127">
        <v>7.0000000000000007E-2</v>
      </c>
      <c r="H79" s="128">
        <f t="shared" si="34"/>
        <v>0.94459203703703709</v>
      </c>
      <c r="I79" s="129" t="s">
        <v>114</v>
      </c>
      <c r="J79" s="134">
        <f>J$40</f>
        <v>0</v>
      </c>
      <c r="K79" s="131">
        <f t="shared" si="35"/>
        <v>0</v>
      </c>
      <c r="L79" s="132"/>
    </row>
    <row r="80" spans="1:12" s="133" customFormat="1" ht="18.75" x14ac:dyDescent="0.2">
      <c r="A80" s="112" t="str">
        <f>IF(F80&lt;&gt;"",1+MAX($A$1:A79),"")</f>
        <v/>
      </c>
      <c r="B80" s="2"/>
      <c r="C80" s="123"/>
      <c r="D80" s="124"/>
      <c r="E80" s="138"/>
      <c r="F80" s="139"/>
      <c r="G80" s="127"/>
      <c r="H80" s="128"/>
      <c r="I80" s="129"/>
      <c r="J80" s="134"/>
      <c r="K80" s="131"/>
      <c r="L80" s="132"/>
    </row>
    <row r="81" spans="1:12" s="133" customFormat="1" ht="18.75" x14ac:dyDescent="0.2">
      <c r="A81" s="112">
        <f>IF(F81&lt;&gt;"",1+MAX($A$1:A80),"")</f>
        <v>46</v>
      </c>
      <c r="B81" s="2"/>
      <c r="C81" s="123"/>
      <c r="D81" s="124"/>
      <c r="E81" s="387" t="s">
        <v>247</v>
      </c>
      <c r="F81" s="139">
        <v>8</v>
      </c>
      <c r="G81" s="127">
        <v>0</v>
      </c>
      <c r="H81" s="128">
        <f t="shared" ref="H81" si="37">F81*(1+G81)</f>
        <v>8</v>
      </c>
      <c r="I81" s="129" t="s">
        <v>209</v>
      </c>
      <c r="J81" s="139">
        <f>SUM(K67:K80)</f>
        <v>0</v>
      </c>
      <c r="K81" s="131">
        <f>J81*H81</f>
        <v>0</v>
      </c>
      <c r="L81" s="132"/>
    </row>
    <row r="82" spans="1:12" s="143" customFormat="1" ht="18.75" x14ac:dyDescent="0.2">
      <c r="A82" s="112" t="str">
        <f>IF(F82&lt;&gt;"",1+MAX($A$1:A81),"")</f>
        <v/>
      </c>
      <c r="B82" s="2"/>
      <c r="C82" s="123"/>
      <c r="D82" s="145"/>
      <c r="E82" s="387"/>
      <c r="F82" s="139"/>
      <c r="G82" s="127"/>
      <c r="H82" s="140"/>
      <c r="I82" s="141"/>
      <c r="J82" s="139"/>
      <c r="K82" s="142"/>
      <c r="L82" s="132"/>
    </row>
    <row r="83" spans="1:12" s="133" customFormat="1" ht="63" x14ac:dyDescent="0.2">
      <c r="A83" s="112" t="str">
        <f>IF(F83&lt;&gt;"",1+MAX($A$1:A82),"")</f>
        <v/>
      </c>
      <c r="B83" s="2"/>
      <c r="C83" s="123"/>
      <c r="D83" s="124"/>
      <c r="E83" s="387" t="s">
        <v>214</v>
      </c>
      <c r="F83" s="139"/>
      <c r="G83" s="127"/>
      <c r="H83" s="128"/>
      <c r="I83" s="25"/>
      <c r="J83" s="229"/>
      <c r="K83" s="131"/>
      <c r="L83" s="132"/>
    </row>
    <row r="84" spans="1:12" s="133" customFormat="1" ht="18.75" x14ac:dyDescent="0.2">
      <c r="A84" s="112">
        <f>IF(F84&lt;&gt;"",1+MAX($A$1:A83),"")</f>
        <v>47</v>
      </c>
      <c r="B84" s="122" t="s">
        <v>194</v>
      </c>
      <c r="C84" s="123" t="s">
        <v>198</v>
      </c>
      <c r="D84" s="124"/>
      <c r="E84" s="138" t="s">
        <v>203</v>
      </c>
      <c r="F84" s="388">
        <f>4*1.5*1/27</f>
        <v>0.22222222222222221</v>
      </c>
      <c r="G84" s="127">
        <v>7.0000000000000007E-2</v>
      </c>
      <c r="H84" s="389">
        <f t="shared" ref="H84:H88" si="38">F84*(1+G84)</f>
        <v>0.23777777777777778</v>
      </c>
      <c r="I84" s="129" t="s">
        <v>114</v>
      </c>
      <c r="J84" s="229">
        <f>J$36</f>
        <v>0</v>
      </c>
      <c r="K84" s="131">
        <f t="shared" ref="K84:K88" si="39">J84*H84</f>
        <v>0</v>
      </c>
      <c r="L84" s="132"/>
    </row>
    <row r="85" spans="1:12" s="133" customFormat="1" ht="18.75" x14ac:dyDescent="0.2">
      <c r="A85" s="112">
        <f>IF(F85&lt;&gt;"",1+MAX($A$1:A84),"")</f>
        <v>48</v>
      </c>
      <c r="B85" s="122" t="s">
        <v>194</v>
      </c>
      <c r="C85" s="123" t="s">
        <v>198</v>
      </c>
      <c r="D85" s="124"/>
      <c r="E85" s="138" t="s">
        <v>204</v>
      </c>
      <c r="F85" s="139">
        <f>2*4*0.668*1.2</f>
        <v>6.4127999999999998</v>
      </c>
      <c r="G85" s="127">
        <v>7.0000000000000007E-2</v>
      </c>
      <c r="H85" s="128">
        <f t="shared" si="38"/>
        <v>6.8616960000000002</v>
      </c>
      <c r="I85" s="129" t="s">
        <v>115</v>
      </c>
      <c r="J85" s="134">
        <f t="shared" ref="J85:J86" si="40">J$37</f>
        <v>0</v>
      </c>
      <c r="K85" s="131">
        <f t="shared" si="39"/>
        <v>0</v>
      </c>
      <c r="L85" s="132"/>
    </row>
    <row r="86" spans="1:12" s="133" customFormat="1" ht="18.75" x14ac:dyDescent="0.2">
      <c r="A86" s="112">
        <f>IF(F86&lt;&gt;"",1+MAX($A$1:A85),"")</f>
        <v>49</v>
      </c>
      <c r="B86" s="122" t="s">
        <v>194</v>
      </c>
      <c r="C86" s="123" t="s">
        <v>198</v>
      </c>
      <c r="D86" s="124"/>
      <c r="E86" s="138" t="s">
        <v>205</v>
      </c>
      <c r="F86" s="139">
        <f>((4*12/24)+1)*1.5*0.668*1.2</f>
        <v>3.6072000000000002</v>
      </c>
      <c r="G86" s="127">
        <v>7.0000000000000007E-2</v>
      </c>
      <c r="H86" s="128">
        <f t="shared" si="38"/>
        <v>3.8597040000000002</v>
      </c>
      <c r="I86" s="129" t="s">
        <v>115</v>
      </c>
      <c r="J86" s="134">
        <f t="shared" si="40"/>
        <v>0</v>
      </c>
      <c r="K86" s="131">
        <f t="shared" si="39"/>
        <v>0</v>
      </c>
      <c r="L86" s="132"/>
    </row>
    <row r="87" spans="1:12" s="133" customFormat="1" ht="18.75" x14ac:dyDescent="0.2">
      <c r="A87" s="112">
        <f>IF(F87&lt;&gt;"",1+MAX($A$1:A86),"")</f>
        <v>50</v>
      </c>
      <c r="B87" s="122" t="s">
        <v>194</v>
      </c>
      <c r="C87" s="123" t="s">
        <v>198</v>
      </c>
      <c r="D87" s="124"/>
      <c r="E87" s="138" t="s">
        <v>116</v>
      </c>
      <c r="F87" s="139">
        <f>4*1</f>
        <v>4</v>
      </c>
      <c r="G87" s="127">
        <v>7.0000000000000007E-2</v>
      </c>
      <c r="H87" s="128">
        <f t="shared" si="38"/>
        <v>4.28</v>
      </c>
      <c r="I87" s="129" t="s">
        <v>117</v>
      </c>
      <c r="J87" s="134">
        <f>J$39</f>
        <v>0</v>
      </c>
      <c r="K87" s="131">
        <f t="shared" si="39"/>
        <v>0</v>
      </c>
      <c r="L87" s="132"/>
    </row>
    <row r="88" spans="1:12" s="133" customFormat="1" ht="18.75" x14ac:dyDescent="0.2">
      <c r="A88" s="112">
        <f>IF(F88&lt;&gt;"",1+MAX($A$1:A87),"")</f>
        <v>51</v>
      </c>
      <c r="B88" s="122" t="s">
        <v>194</v>
      </c>
      <c r="C88" s="123" t="s">
        <v>198</v>
      </c>
      <c r="D88" s="124"/>
      <c r="E88" s="138" t="s">
        <v>118</v>
      </c>
      <c r="F88" s="388">
        <f>4*1.5*2/27</f>
        <v>0.44444444444444442</v>
      </c>
      <c r="G88" s="127">
        <v>7.0000000000000007E-2</v>
      </c>
      <c r="H88" s="389">
        <f t="shared" si="38"/>
        <v>0.47555555555555556</v>
      </c>
      <c r="I88" s="129" t="s">
        <v>114</v>
      </c>
      <c r="J88" s="134">
        <f>J$40</f>
        <v>0</v>
      </c>
      <c r="K88" s="131">
        <f t="shared" si="39"/>
        <v>0</v>
      </c>
      <c r="L88" s="132"/>
    </row>
    <row r="89" spans="1:12" s="133" customFormat="1" ht="18.75" x14ac:dyDescent="0.2">
      <c r="A89" s="112" t="str">
        <f>IF(F89&lt;&gt;"",1+MAX($A$1:A88),"")</f>
        <v/>
      </c>
      <c r="B89" s="2"/>
      <c r="C89" s="123"/>
      <c r="D89" s="124"/>
      <c r="E89" s="138"/>
      <c r="F89" s="139"/>
      <c r="G89" s="127"/>
      <c r="H89" s="128"/>
      <c r="I89" s="129"/>
      <c r="J89" s="134"/>
      <c r="K89" s="131"/>
      <c r="L89" s="132"/>
    </row>
    <row r="90" spans="1:12" s="133" customFormat="1" ht="63" x14ac:dyDescent="0.2">
      <c r="A90" s="112" t="str">
        <f>IF(F90&lt;&gt;"",1+MAX($A$1:A89),"")</f>
        <v/>
      </c>
      <c r="B90" s="2"/>
      <c r="C90" s="123"/>
      <c r="D90" s="124"/>
      <c r="E90" s="387" t="s">
        <v>215</v>
      </c>
      <c r="F90" s="139"/>
      <c r="G90" s="127"/>
      <c r="H90" s="128"/>
      <c r="I90" s="25"/>
      <c r="J90" s="229"/>
      <c r="K90" s="131"/>
      <c r="L90" s="132"/>
    </row>
    <row r="91" spans="1:12" s="133" customFormat="1" ht="18.75" x14ac:dyDescent="0.2">
      <c r="A91" s="112">
        <f>IF(F91&lt;&gt;"",1+MAX($A$1:A90),"")</f>
        <v>52</v>
      </c>
      <c r="B91" s="122" t="s">
        <v>194</v>
      </c>
      <c r="C91" s="123" t="s">
        <v>198</v>
      </c>
      <c r="D91" s="124"/>
      <c r="E91" s="138" t="s">
        <v>203</v>
      </c>
      <c r="F91" s="390">
        <f>4*1*7.334/27</f>
        <v>1.0865185185185184</v>
      </c>
      <c r="G91" s="127">
        <v>7.0000000000000007E-2</v>
      </c>
      <c r="H91" s="128">
        <f t="shared" ref="H91:H95" si="41">F91*(1+G91)</f>
        <v>1.1625748148148147</v>
      </c>
      <c r="I91" s="129" t="s">
        <v>114</v>
      </c>
      <c r="J91" s="229">
        <f>J$36</f>
        <v>0</v>
      </c>
      <c r="K91" s="131">
        <f t="shared" ref="K91:K95" si="42">J91*H91</f>
        <v>0</v>
      </c>
      <c r="L91" s="132"/>
    </row>
    <row r="92" spans="1:12" s="133" customFormat="1" ht="18.75" x14ac:dyDescent="0.2">
      <c r="A92" s="112">
        <f>IF(F92&lt;&gt;"",1+MAX($A$1:A91),"")</f>
        <v>53</v>
      </c>
      <c r="B92" s="122" t="s">
        <v>194</v>
      </c>
      <c r="C92" s="123" t="s">
        <v>198</v>
      </c>
      <c r="D92" s="124"/>
      <c r="E92" s="138" t="s">
        <v>207</v>
      </c>
      <c r="F92" s="139">
        <f>2*4*0.668*1.2*3</f>
        <v>19.238399999999999</v>
      </c>
      <c r="G92" s="127">
        <v>7.0000000000000007E-2</v>
      </c>
      <c r="H92" s="128">
        <f t="shared" si="41"/>
        <v>20.585087999999999</v>
      </c>
      <c r="I92" s="129" t="s">
        <v>115</v>
      </c>
      <c r="J92" s="134">
        <f t="shared" ref="J92:J93" si="43">J$37</f>
        <v>0</v>
      </c>
      <c r="K92" s="131">
        <f t="shared" si="42"/>
        <v>0</v>
      </c>
      <c r="L92" s="132"/>
    </row>
    <row r="93" spans="1:12" s="133" customFormat="1" ht="18.75" x14ac:dyDescent="0.2">
      <c r="A93" s="112">
        <f>IF(F93&lt;&gt;"",1+MAX($A$1:A92),"")</f>
        <v>54</v>
      </c>
      <c r="B93" s="122" t="s">
        <v>194</v>
      </c>
      <c r="C93" s="123" t="s">
        <v>198</v>
      </c>
      <c r="D93" s="124"/>
      <c r="E93" s="138" t="s">
        <v>208</v>
      </c>
      <c r="F93" s="139">
        <f>((4*12/16)+1)*7.334*0.668*1.2*2</f>
        <v>47.031475199999996</v>
      </c>
      <c r="G93" s="127">
        <v>7.0000000000000007E-2</v>
      </c>
      <c r="H93" s="128">
        <f t="shared" si="41"/>
        <v>50.323678463999997</v>
      </c>
      <c r="I93" s="129" t="s">
        <v>115</v>
      </c>
      <c r="J93" s="134">
        <f t="shared" si="43"/>
        <v>0</v>
      </c>
      <c r="K93" s="131">
        <f t="shared" si="42"/>
        <v>0</v>
      </c>
      <c r="L93" s="132"/>
    </row>
    <row r="94" spans="1:12" s="133" customFormat="1" ht="18.75" x14ac:dyDescent="0.2">
      <c r="A94" s="112">
        <f>IF(F94&lt;&gt;"",1+MAX($A$1:A93),"")</f>
        <v>55</v>
      </c>
      <c r="B94" s="122" t="s">
        <v>194</v>
      </c>
      <c r="C94" s="123" t="s">
        <v>198</v>
      </c>
      <c r="D94" s="124"/>
      <c r="E94" s="138" t="s">
        <v>116</v>
      </c>
      <c r="F94" s="139">
        <f>4*7.334</f>
        <v>29.335999999999999</v>
      </c>
      <c r="G94" s="127">
        <v>7.0000000000000007E-2</v>
      </c>
      <c r="H94" s="128">
        <f t="shared" si="41"/>
        <v>31.389520000000001</v>
      </c>
      <c r="I94" s="129" t="s">
        <v>117</v>
      </c>
      <c r="J94" s="134">
        <f>J$39</f>
        <v>0</v>
      </c>
      <c r="K94" s="131">
        <f t="shared" si="42"/>
        <v>0</v>
      </c>
      <c r="L94" s="132"/>
    </row>
    <row r="95" spans="1:12" s="133" customFormat="1" ht="18.75" x14ac:dyDescent="0.2">
      <c r="A95" s="112">
        <f>IF(F95&lt;&gt;"",1+MAX($A$1:A94),"")</f>
        <v>56</v>
      </c>
      <c r="B95" s="122" t="s">
        <v>194</v>
      </c>
      <c r="C95" s="123" t="s">
        <v>198</v>
      </c>
      <c r="D95" s="124"/>
      <c r="E95" s="138" t="s">
        <v>118</v>
      </c>
      <c r="F95" s="139">
        <f>4*1*7.334/27</f>
        <v>1.0865185185185184</v>
      </c>
      <c r="G95" s="127">
        <v>7.0000000000000007E-2</v>
      </c>
      <c r="H95" s="128">
        <f t="shared" si="41"/>
        <v>1.1625748148148147</v>
      </c>
      <c r="I95" s="129" t="s">
        <v>114</v>
      </c>
      <c r="J95" s="134">
        <f>J$40</f>
        <v>0</v>
      </c>
      <c r="K95" s="131">
        <f t="shared" si="42"/>
        <v>0</v>
      </c>
      <c r="L95" s="132"/>
    </row>
    <row r="96" spans="1:12" s="133" customFormat="1" ht="18.75" x14ac:dyDescent="0.2">
      <c r="A96" s="112" t="str">
        <f>IF(F96&lt;&gt;"",1+MAX($A$1:A95),"")</f>
        <v/>
      </c>
      <c r="B96" s="2"/>
      <c r="C96" s="123"/>
      <c r="D96" s="124"/>
      <c r="E96" s="138"/>
      <c r="F96" s="139"/>
      <c r="G96" s="127"/>
      <c r="H96" s="128"/>
      <c r="I96" s="129"/>
      <c r="J96" s="134"/>
      <c r="K96" s="131"/>
      <c r="L96" s="132"/>
    </row>
    <row r="97" spans="1:12" s="133" customFormat="1" ht="18.75" x14ac:dyDescent="0.2">
      <c r="A97" s="112">
        <f>IF(F97&lt;&gt;"",1+MAX($A$1:A96),"")</f>
        <v>57</v>
      </c>
      <c r="B97" s="2"/>
      <c r="C97" s="123"/>
      <c r="D97" s="124"/>
      <c r="E97" s="387" t="s">
        <v>247</v>
      </c>
      <c r="F97" s="139">
        <v>7</v>
      </c>
      <c r="G97" s="127">
        <v>0</v>
      </c>
      <c r="H97" s="128">
        <f t="shared" ref="H97" si="44">F97*(1+G97)</f>
        <v>7</v>
      </c>
      <c r="I97" s="129" t="s">
        <v>209</v>
      </c>
      <c r="J97" s="139">
        <f>SUM(K83:K96)</f>
        <v>0</v>
      </c>
      <c r="K97" s="131">
        <f>J97*H97</f>
        <v>0</v>
      </c>
      <c r="L97" s="132"/>
    </row>
    <row r="98" spans="1:12" s="1" customFormat="1" ht="16.5" thickBot="1" x14ac:dyDescent="0.25">
      <c r="A98" s="112" t="str">
        <f>IF(F98&lt;&gt;"",1+MAX($A$1:A97),"")</f>
        <v/>
      </c>
      <c r="B98" s="43"/>
      <c r="C98" s="2"/>
      <c r="D98" s="39"/>
      <c r="F98" s="44"/>
      <c r="G98" s="45"/>
      <c r="H98" s="44"/>
      <c r="I98" s="46"/>
      <c r="J98" s="73"/>
      <c r="K98" s="65"/>
      <c r="L98" s="56"/>
    </row>
    <row r="99" spans="1:12" s="1" customFormat="1" ht="16.5" thickBot="1" x14ac:dyDescent="0.25">
      <c r="A99" s="112" t="str">
        <f>IF(F99&lt;&gt;"",1+MAX($A$1:A98),"")</f>
        <v/>
      </c>
      <c r="B99" s="2"/>
      <c r="C99" s="2"/>
      <c r="D99" s="39"/>
      <c r="E99" s="53" t="s">
        <v>226</v>
      </c>
      <c r="F99" s="29"/>
      <c r="G99" s="24"/>
      <c r="H99" s="4"/>
      <c r="I99" s="25"/>
      <c r="J99" s="74"/>
      <c r="K99" s="68"/>
      <c r="L99" s="57">
        <f>SUM(K34:K98)</f>
        <v>0</v>
      </c>
    </row>
    <row r="100" spans="1:12" s="133" customFormat="1" ht="19.5" thickBot="1" x14ac:dyDescent="0.25">
      <c r="A100" s="112" t="str">
        <f>IF(F100&lt;&gt;"",1+MAX($A$1:A99),"")</f>
        <v/>
      </c>
      <c r="B100" s="122"/>
      <c r="C100" s="123"/>
      <c r="D100" s="144"/>
      <c r="E100" s="391"/>
      <c r="F100" s="126"/>
      <c r="G100" s="127"/>
      <c r="H100" s="127"/>
      <c r="I100" s="127"/>
      <c r="J100" s="127"/>
      <c r="K100" s="131"/>
      <c r="L100" s="132"/>
    </row>
    <row r="101" spans="1:12" s="1" customFormat="1" ht="16.5" thickBot="1" x14ac:dyDescent="0.25">
      <c r="A101" s="112" t="str">
        <f>IF(F101&lt;&gt;"",1+MAX($A$1:A100),"")</f>
        <v/>
      </c>
      <c r="B101" s="30"/>
      <c r="C101" s="218"/>
      <c r="D101" s="219"/>
      <c r="E101" s="220" t="s">
        <v>216</v>
      </c>
      <c r="F101" s="221"/>
      <c r="G101" s="222"/>
      <c r="H101" s="223"/>
      <c r="I101" s="224"/>
      <c r="J101" s="229"/>
      <c r="K101" s="230"/>
      <c r="L101" s="20"/>
    </row>
    <row r="102" spans="1:12" s="133" customFormat="1" ht="31.5" x14ac:dyDescent="0.2">
      <c r="A102" s="112">
        <f>IF(F102&lt;&gt;"",1+MAX($A$1:A101),"")</f>
        <v>58</v>
      </c>
      <c r="B102" s="122" t="s">
        <v>194</v>
      </c>
      <c r="C102" s="376"/>
      <c r="D102" s="392">
        <f>H102*0.334/27</f>
        <v>9.7419140740740762</v>
      </c>
      <c r="E102" s="138" t="s">
        <v>217</v>
      </c>
      <c r="F102" s="139">
        <v>736</v>
      </c>
      <c r="G102" s="127">
        <v>7.0000000000000007E-2</v>
      </c>
      <c r="H102" s="128">
        <f t="shared" ref="H102:H106" si="45">F102*(1+G102)</f>
        <v>787.5200000000001</v>
      </c>
      <c r="I102" s="129" t="s">
        <v>18</v>
      </c>
      <c r="J102" s="130">
        <v>0</v>
      </c>
      <c r="K102" s="131">
        <f>J102*H102</f>
        <v>0</v>
      </c>
      <c r="L102" s="132"/>
    </row>
    <row r="103" spans="1:12" s="133" customFormat="1" ht="18.75" x14ac:dyDescent="0.2">
      <c r="A103" s="112">
        <f>IF(F103&lt;&gt;"",1+MAX($A$1:A102),"")</f>
        <v>59</v>
      </c>
      <c r="B103" s="122" t="s">
        <v>194</v>
      </c>
      <c r="C103" s="376"/>
      <c r="D103" s="124"/>
      <c r="E103" s="138" t="s">
        <v>218</v>
      </c>
      <c r="F103" s="139">
        <v>736</v>
      </c>
      <c r="G103" s="127">
        <v>7.0000000000000007E-2</v>
      </c>
      <c r="H103" s="128">
        <f t="shared" si="45"/>
        <v>787.5200000000001</v>
      </c>
      <c r="I103" s="129" t="s">
        <v>18</v>
      </c>
      <c r="J103" s="130">
        <v>0</v>
      </c>
      <c r="K103" s="131">
        <f>J103*H103</f>
        <v>0</v>
      </c>
      <c r="L103" s="132"/>
    </row>
    <row r="104" spans="1:12" s="133" customFormat="1" ht="31.5" x14ac:dyDescent="0.2">
      <c r="A104" s="112">
        <f>IF(F104&lt;&gt;"",1+MAX($A$1:A103),"")</f>
        <v>60</v>
      </c>
      <c r="B104" s="122" t="s">
        <v>194</v>
      </c>
      <c r="C104" s="376"/>
      <c r="D104" s="124"/>
      <c r="E104" s="138" t="s">
        <v>219</v>
      </c>
      <c r="F104" s="139">
        <f>736*0.334/27</f>
        <v>9.1045925925925939</v>
      </c>
      <c r="G104" s="127">
        <v>7.0000000000000007E-2</v>
      </c>
      <c r="H104" s="128">
        <f t="shared" si="45"/>
        <v>9.7419140740740762</v>
      </c>
      <c r="I104" s="129" t="s">
        <v>114</v>
      </c>
      <c r="J104" s="130">
        <v>0</v>
      </c>
      <c r="K104" s="131">
        <f>J104*H104</f>
        <v>0</v>
      </c>
      <c r="L104" s="132"/>
    </row>
    <row r="105" spans="1:12" s="133" customFormat="1" ht="18.75" x14ac:dyDescent="0.2">
      <c r="A105" s="112">
        <f>IF(F105&lt;&gt;"",1+MAX($A$1:A104),"")</f>
        <v>61</v>
      </c>
      <c r="B105" s="122" t="s">
        <v>194</v>
      </c>
      <c r="C105" s="376"/>
      <c r="D105" s="124"/>
      <c r="E105" s="138" t="s">
        <v>220</v>
      </c>
      <c r="F105" s="139">
        <f>736*0.16</f>
        <v>117.76</v>
      </c>
      <c r="G105" s="127">
        <v>7.0000000000000007E-2</v>
      </c>
      <c r="H105" s="128">
        <f t="shared" si="45"/>
        <v>126.00320000000001</v>
      </c>
      <c r="I105" s="129" t="s">
        <v>15</v>
      </c>
      <c r="J105" s="130">
        <v>0</v>
      </c>
      <c r="K105" s="131">
        <f>J105*H105</f>
        <v>0</v>
      </c>
      <c r="L105" s="132"/>
    </row>
    <row r="106" spans="1:12" s="133" customFormat="1" ht="18.75" x14ac:dyDescent="0.2">
      <c r="A106" s="112">
        <f>IF(F106&lt;&gt;"",1+MAX($A$1:A105),"")</f>
        <v>62</v>
      </c>
      <c r="B106" s="122" t="s">
        <v>194</v>
      </c>
      <c r="C106" s="376"/>
      <c r="D106" s="124"/>
      <c r="E106" s="138" t="s">
        <v>221</v>
      </c>
      <c r="F106" s="139">
        <v>211</v>
      </c>
      <c r="G106" s="127">
        <v>7.0000000000000007E-2</v>
      </c>
      <c r="H106" s="128">
        <f t="shared" si="45"/>
        <v>225.77</v>
      </c>
      <c r="I106" s="129" t="s">
        <v>15</v>
      </c>
      <c r="J106" s="130">
        <v>0</v>
      </c>
      <c r="K106" s="131">
        <f>J106*H106</f>
        <v>0</v>
      </c>
      <c r="L106" s="132"/>
    </row>
    <row r="107" spans="1:12" s="1" customFormat="1" ht="16.5" thickBot="1" x14ac:dyDescent="0.25">
      <c r="A107" s="112" t="str">
        <f>IF(F107&lt;&gt;"",1+MAX($A$1:A106),"")</f>
        <v/>
      </c>
      <c r="B107" s="43"/>
      <c r="C107" s="2"/>
      <c r="D107" s="39"/>
      <c r="F107" s="44"/>
      <c r="G107" s="45"/>
      <c r="H107" s="44"/>
      <c r="I107" s="46"/>
      <c r="J107" s="73"/>
      <c r="K107" s="65"/>
      <c r="L107" s="56"/>
    </row>
    <row r="108" spans="1:12" s="1" customFormat="1" ht="16.5" thickBot="1" x14ac:dyDescent="0.25">
      <c r="A108" s="112" t="str">
        <f>IF(F108&lt;&gt;"",1+MAX($A$1:A107),"")</f>
        <v/>
      </c>
      <c r="B108" s="2"/>
      <c r="C108" s="2"/>
      <c r="D108" s="39"/>
      <c r="E108" s="53" t="s">
        <v>225</v>
      </c>
      <c r="F108" s="29"/>
      <c r="G108" s="24"/>
      <c r="H108" s="4"/>
      <c r="I108" s="25"/>
      <c r="J108" s="74"/>
      <c r="K108" s="68"/>
      <c r="L108" s="57">
        <f>SUM(K101:K107)</f>
        <v>0</v>
      </c>
    </row>
    <row r="109" spans="1:12" s="143" customFormat="1" ht="19.5" thickBot="1" x14ac:dyDescent="0.25">
      <c r="A109" s="112" t="str">
        <f>IF(F109&lt;&gt;"",1+MAX($A$1:A108),"")</f>
        <v/>
      </c>
      <c r="B109" s="122"/>
      <c r="C109" s="123"/>
      <c r="D109" s="145"/>
      <c r="E109" s="138"/>
      <c r="F109" s="139"/>
      <c r="G109" s="127"/>
      <c r="H109" s="140"/>
      <c r="I109" s="141"/>
      <c r="J109" s="134"/>
      <c r="K109" s="142"/>
      <c r="L109" s="132"/>
    </row>
    <row r="110" spans="1:12" s="13" customFormat="1" ht="16.5" thickBot="1" x14ac:dyDescent="0.25">
      <c r="A110" s="112" t="str">
        <f>IF(F110&lt;&gt;"",1+MAX($A$1:A109),"")</f>
        <v/>
      </c>
      <c r="B110" s="60"/>
      <c r="C110" s="26"/>
      <c r="D110" s="26" t="s">
        <v>89</v>
      </c>
      <c r="E110" s="49" t="s">
        <v>90</v>
      </c>
      <c r="F110" s="28"/>
      <c r="G110" s="23"/>
      <c r="H110" s="23"/>
      <c r="I110" s="23"/>
      <c r="J110" s="70"/>
      <c r="K110" s="63"/>
      <c r="L110" s="20"/>
    </row>
    <row r="111" spans="1:12" s="1" customFormat="1" ht="16.5" thickBot="1" x14ac:dyDescent="0.25">
      <c r="A111" s="112" t="str">
        <f>IF(F111&lt;&gt;"",1+MAX($A$1:A110),"")</f>
        <v/>
      </c>
      <c r="B111" s="30"/>
      <c r="C111" s="218"/>
      <c r="D111" s="219"/>
      <c r="E111" s="220" t="s">
        <v>125</v>
      </c>
      <c r="F111" s="221"/>
      <c r="G111" s="222"/>
      <c r="H111" s="223"/>
      <c r="I111" s="224"/>
      <c r="J111" s="239"/>
      <c r="K111" s="240"/>
      <c r="L111" s="20"/>
    </row>
    <row r="112" spans="1:12" s="133" customFormat="1" ht="18.75" x14ac:dyDescent="0.2">
      <c r="A112" s="112">
        <f>IF(F112&lt;&gt;"",1+MAX($A$1:A111),"")</f>
        <v>63</v>
      </c>
      <c r="B112" s="122" t="s">
        <v>143</v>
      </c>
      <c r="C112" s="123"/>
      <c r="D112" s="144"/>
      <c r="E112" s="125" t="s">
        <v>126</v>
      </c>
      <c r="F112" s="126">
        <v>1</v>
      </c>
      <c r="G112" s="127">
        <v>0</v>
      </c>
      <c r="H112" s="128">
        <f t="shared" ref="H112" si="46">F112*(1+G112)</f>
        <v>1</v>
      </c>
      <c r="I112" s="129" t="s">
        <v>27</v>
      </c>
      <c r="J112" s="130">
        <v>0</v>
      </c>
      <c r="K112" s="131">
        <f t="shared" ref="K112" si="47">J112*H112</f>
        <v>0</v>
      </c>
      <c r="L112" s="132"/>
    </row>
    <row r="113" spans="1:14" s="1" customFormat="1" ht="16.5" thickBot="1" x14ac:dyDescent="0.25">
      <c r="A113" s="112" t="str">
        <f>IF(F113&lt;&gt;"",1+MAX($A$1:A112),"")</f>
        <v/>
      </c>
      <c r="B113" s="43"/>
      <c r="C113" s="2"/>
      <c r="D113" s="39"/>
      <c r="F113" s="44"/>
      <c r="G113" s="45"/>
      <c r="H113" s="44"/>
      <c r="I113" s="46"/>
      <c r="J113" s="73"/>
      <c r="K113" s="65"/>
      <c r="L113" s="56"/>
    </row>
    <row r="114" spans="1:14" s="1" customFormat="1" ht="16.5" thickBot="1" x14ac:dyDescent="0.25">
      <c r="A114" s="112" t="str">
        <f>IF(F114&lt;&gt;"",1+MAX($A$1:A113),"")</f>
        <v/>
      </c>
      <c r="B114" s="2"/>
      <c r="C114" s="2"/>
      <c r="D114" s="39"/>
      <c r="E114" s="53" t="s">
        <v>127</v>
      </c>
      <c r="F114" s="29"/>
      <c r="G114" s="24"/>
      <c r="H114" s="4"/>
      <c r="I114" s="25"/>
      <c r="J114" s="74"/>
      <c r="K114" s="68"/>
      <c r="L114" s="57">
        <f>SUM(K111:K113)</f>
        <v>0</v>
      </c>
    </row>
    <row r="115" spans="1:14" s="143" customFormat="1" ht="19.5" thickBot="1" x14ac:dyDescent="0.25">
      <c r="A115" s="112" t="str">
        <f>IF(F115&lt;&gt;"",1+MAX($A$1:A114),"")</f>
        <v/>
      </c>
      <c r="B115" s="122"/>
      <c r="C115" s="123"/>
      <c r="D115" s="145"/>
      <c r="E115" s="138"/>
      <c r="F115" s="139"/>
      <c r="G115" s="127"/>
      <c r="H115" s="140"/>
      <c r="I115" s="141"/>
      <c r="J115" s="134"/>
      <c r="K115" s="142"/>
      <c r="L115" s="132"/>
    </row>
    <row r="116" spans="1:14" s="1" customFormat="1" ht="16.5" thickBot="1" x14ac:dyDescent="0.25">
      <c r="A116" s="112" t="str">
        <f>IF(F116&lt;&gt;"",1+MAX($A$1:A115),"")</f>
        <v/>
      </c>
      <c r="B116" s="30"/>
      <c r="C116" s="218"/>
      <c r="D116" s="219"/>
      <c r="E116" s="220" t="s">
        <v>151</v>
      </c>
      <c r="F116" s="221"/>
      <c r="G116" s="222"/>
      <c r="H116" s="223"/>
      <c r="I116" s="224"/>
      <c r="J116" s="239"/>
      <c r="K116" s="240"/>
      <c r="L116" s="20"/>
    </row>
    <row r="117" spans="1:14" s="133" customFormat="1" ht="18.75" x14ac:dyDescent="0.2">
      <c r="A117" s="112">
        <f>IF(F117&lt;&gt;"",1+MAX($A$1:A116),"")</f>
        <v>64</v>
      </c>
      <c r="B117" s="122" t="s">
        <v>143</v>
      </c>
      <c r="C117" s="123"/>
      <c r="D117" s="144"/>
      <c r="E117" s="125" t="s">
        <v>91</v>
      </c>
      <c r="F117" s="126">
        <f>180*2</f>
        <v>360</v>
      </c>
      <c r="G117" s="127">
        <v>7.0000000000000007E-2</v>
      </c>
      <c r="H117" s="128">
        <f t="shared" ref="H117" si="48">F117*(1+G117)</f>
        <v>385.20000000000005</v>
      </c>
      <c r="I117" s="129" t="s">
        <v>15</v>
      </c>
      <c r="J117" s="130">
        <v>0</v>
      </c>
      <c r="K117" s="131">
        <f t="shared" ref="K117" si="49">J117*H117</f>
        <v>0</v>
      </c>
      <c r="L117" s="132"/>
    </row>
    <row r="118" spans="1:14" s="1" customFormat="1" ht="16.5" thickBot="1" x14ac:dyDescent="0.25">
      <c r="A118" s="112" t="str">
        <f>IF(F118&lt;&gt;"",1+MAX($A$1:A117),"")</f>
        <v/>
      </c>
      <c r="B118" s="43"/>
      <c r="C118" s="2"/>
      <c r="D118" s="39"/>
      <c r="F118" s="44"/>
      <c r="G118" s="45"/>
      <c r="H118" s="44"/>
      <c r="I118" s="46"/>
      <c r="J118" s="73"/>
      <c r="K118" s="65"/>
      <c r="L118" s="56"/>
    </row>
    <row r="119" spans="1:14" s="1" customFormat="1" ht="16.5" thickBot="1" x14ac:dyDescent="0.25">
      <c r="A119" s="112" t="str">
        <f>IF(F119&lt;&gt;"",1+MAX($A$1:A118),"")</f>
        <v/>
      </c>
      <c r="B119" s="2"/>
      <c r="C119" s="2"/>
      <c r="D119" s="39"/>
      <c r="E119" s="53" t="s">
        <v>152</v>
      </c>
      <c r="F119" s="29"/>
      <c r="G119" s="24"/>
      <c r="H119" s="4"/>
      <c r="I119" s="25"/>
      <c r="J119" s="74"/>
      <c r="K119" s="68"/>
      <c r="L119" s="57">
        <f>SUM(K116:K118)</f>
        <v>0</v>
      </c>
    </row>
    <row r="120" spans="1:14" s="143" customFormat="1" ht="19.5" thickBot="1" x14ac:dyDescent="0.25">
      <c r="A120" s="112" t="str">
        <f>IF(F120&lt;&gt;"",1+MAX($A$1:A119),"")</f>
        <v/>
      </c>
      <c r="B120" s="122"/>
      <c r="C120" s="123"/>
      <c r="D120" s="145"/>
      <c r="E120" s="138"/>
      <c r="F120" s="139"/>
      <c r="G120" s="127"/>
      <c r="H120" s="140"/>
      <c r="I120" s="141"/>
      <c r="J120" s="320"/>
      <c r="K120" s="79"/>
      <c r="L120" s="132"/>
    </row>
    <row r="121" spans="1:14" s="13" customFormat="1" ht="16.5" thickBot="1" x14ac:dyDescent="0.25">
      <c r="A121" s="112" t="str">
        <f>IF(F121&lt;&gt;"",1+MAX($A$1:A120),"")</f>
        <v/>
      </c>
      <c r="B121" s="60"/>
      <c r="C121" s="26"/>
      <c r="D121" s="26" t="s">
        <v>62</v>
      </c>
      <c r="E121" s="49" t="s">
        <v>63</v>
      </c>
      <c r="F121" s="28"/>
      <c r="G121" s="23"/>
      <c r="H121" s="23"/>
      <c r="I121" s="23"/>
      <c r="J121" s="70"/>
      <c r="K121" s="63"/>
      <c r="L121" s="20"/>
    </row>
    <row r="122" spans="1:14" s="1" customFormat="1" ht="16.5" thickBot="1" x14ac:dyDescent="0.25">
      <c r="A122" s="112" t="str">
        <f>IF(F122&lt;&gt;"",1+MAX($A$1:A121),"")</f>
        <v/>
      </c>
      <c r="B122" s="30"/>
      <c r="C122" s="218"/>
      <c r="D122" s="219"/>
      <c r="E122" s="220" t="s">
        <v>64</v>
      </c>
      <c r="F122" s="221"/>
      <c r="G122" s="236"/>
      <c r="H122" s="237"/>
      <c r="I122" s="238"/>
      <c r="J122" s="227"/>
      <c r="K122" s="228"/>
      <c r="L122" s="20"/>
    </row>
    <row r="123" spans="1:14" s="184" customFormat="1" x14ac:dyDescent="0.2">
      <c r="A123" s="112" t="str">
        <f>IF(F123&lt;&gt;"",1+MAX($A$1:A122),"")</f>
        <v/>
      </c>
      <c r="B123" s="206"/>
      <c r="C123" s="30"/>
      <c r="D123" s="201"/>
      <c r="E123" s="207" t="s">
        <v>80</v>
      </c>
      <c r="F123" s="202"/>
      <c r="G123" s="24"/>
      <c r="H123" s="208"/>
      <c r="I123" s="5"/>
      <c r="J123" s="235"/>
      <c r="K123" s="210"/>
      <c r="L123" s="205"/>
    </row>
    <row r="124" spans="1:14" s="133" customFormat="1" ht="31.5" x14ac:dyDescent="0.2">
      <c r="A124" s="112">
        <f>IF(F124&lt;&gt;"",1+MAX($A$1:A123),"")</f>
        <v>65</v>
      </c>
      <c r="B124" s="122" t="s">
        <v>143</v>
      </c>
      <c r="C124" s="123"/>
      <c r="D124" s="144"/>
      <c r="E124" s="125" t="s">
        <v>148</v>
      </c>
      <c r="F124" s="126">
        <v>2</v>
      </c>
      <c r="G124" s="127">
        <v>0</v>
      </c>
      <c r="H124" s="128">
        <f>F124*(1+G124)</f>
        <v>2</v>
      </c>
      <c r="I124" s="129" t="s">
        <v>20</v>
      </c>
      <c r="J124" s="149">
        <v>0</v>
      </c>
      <c r="K124" s="131">
        <f>J124*H124</f>
        <v>0</v>
      </c>
      <c r="L124" s="132"/>
      <c r="N124" s="371"/>
    </row>
    <row r="125" spans="1:14" s="133" customFormat="1" ht="31.5" x14ac:dyDescent="0.2">
      <c r="A125" s="112">
        <f>IF(F125&lt;&gt;"",1+MAX($A$1:A124),"")</f>
        <v>66</v>
      </c>
      <c r="B125" s="122" t="s">
        <v>143</v>
      </c>
      <c r="C125" s="123"/>
      <c r="D125" s="144"/>
      <c r="E125" s="125" t="s">
        <v>147</v>
      </c>
      <c r="F125" s="126">
        <v>3</v>
      </c>
      <c r="G125" s="127">
        <v>0</v>
      </c>
      <c r="H125" s="128">
        <f>F125*(1+G125)</f>
        <v>3</v>
      </c>
      <c r="I125" s="129" t="s">
        <v>20</v>
      </c>
      <c r="J125" s="149">
        <v>0</v>
      </c>
      <c r="K125" s="131">
        <f>J125*H125</f>
        <v>0</v>
      </c>
      <c r="L125" s="132"/>
      <c r="N125" s="371"/>
    </row>
    <row r="126" spans="1:14" s="133" customFormat="1" ht="31.5" x14ac:dyDescent="0.2">
      <c r="A126" s="112">
        <f>IF(F126&lt;&gt;"",1+MAX($A$1:A125),"")</f>
        <v>67</v>
      </c>
      <c r="B126" s="122" t="s">
        <v>143</v>
      </c>
      <c r="C126" s="123"/>
      <c r="D126" s="144"/>
      <c r="E126" s="125" t="s">
        <v>149</v>
      </c>
      <c r="F126" s="126">
        <v>2</v>
      </c>
      <c r="G126" s="232">
        <v>0</v>
      </c>
      <c r="H126" s="233">
        <f t="shared" ref="H126:H127" si="50">F126*(1+G126)</f>
        <v>2</v>
      </c>
      <c r="I126" s="234" t="s">
        <v>20</v>
      </c>
      <c r="J126" s="149">
        <v>0</v>
      </c>
      <c r="K126" s="131">
        <f t="shared" ref="K126:K127" si="51">J126*H126</f>
        <v>0</v>
      </c>
      <c r="L126" s="132"/>
      <c r="N126" s="371"/>
    </row>
    <row r="127" spans="1:14" s="133" customFormat="1" ht="31.5" x14ac:dyDescent="0.2">
      <c r="A127" s="112">
        <f>IF(F127&lt;&gt;"",1+MAX($A$1:A126),"")</f>
        <v>68</v>
      </c>
      <c r="B127" s="122" t="s">
        <v>143</v>
      </c>
      <c r="C127" s="123"/>
      <c r="D127" s="144"/>
      <c r="E127" s="125" t="s">
        <v>150</v>
      </c>
      <c r="F127" s="126">
        <v>4</v>
      </c>
      <c r="G127" s="127">
        <v>0</v>
      </c>
      <c r="H127" s="128">
        <f t="shared" si="50"/>
        <v>4</v>
      </c>
      <c r="I127" s="129" t="s">
        <v>20</v>
      </c>
      <c r="J127" s="149">
        <v>0</v>
      </c>
      <c r="K127" s="131">
        <f t="shared" si="51"/>
        <v>0</v>
      </c>
      <c r="L127" s="132"/>
      <c r="N127" s="371"/>
    </row>
    <row r="128" spans="1:14" s="1" customFormat="1" ht="16.5" thickBot="1" x14ac:dyDescent="0.25">
      <c r="A128" s="112" t="str">
        <f>IF(F128&lt;&gt;"",1+MAX($A$1:A127),"")</f>
        <v/>
      </c>
      <c r="B128" s="2"/>
      <c r="C128" s="2"/>
      <c r="D128" s="39"/>
      <c r="E128" s="53"/>
      <c r="F128" s="44"/>
      <c r="G128" s="45"/>
      <c r="H128" s="44"/>
      <c r="I128" s="46"/>
      <c r="J128" s="135"/>
      <c r="K128" s="65"/>
      <c r="L128" s="22"/>
    </row>
    <row r="129" spans="1:12" s="1" customFormat="1" ht="16.5" thickBot="1" x14ac:dyDescent="0.25">
      <c r="A129" s="112" t="str">
        <f>IF(F129&lt;&gt;"",1+MAX($A$1:A128),"")</f>
        <v/>
      </c>
      <c r="B129" s="2"/>
      <c r="C129" s="2"/>
      <c r="D129" s="39"/>
      <c r="E129" s="53" t="s">
        <v>61</v>
      </c>
      <c r="F129" s="29"/>
      <c r="G129" s="24"/>
      <c r="H129" s="4"/>
      <c r="I129" s="25"/>
      <c r="J129" s="113"/>
      <c r="K129" s="68"/>
      <c r="L129" s="136">
        <f>SUM(K122:K128)</f>
        <v>0</v>
      </c>
    </row>
    <row r="130" spans="1:12" s="13" customFormat="1" ht="16.5" thickBot="1" x14ac:dyDescent="0.25">
      <c r="A130" s="112" t="str">
        <f>IF(F130&lt;&gt;"",1+MAX($A$1:A129),"")</f>
        <v/>
      </c>
      <c r="B130" s="2"/>
      <c r="C130" s="14"/>
      <c r="D130" s="14"/>
      <c r="E130" s="16"/>
      <c r="F130" s="17"/>
      <c r="G130" s="3"/>
      <c r="H130" s="4"/>
      <c r="I130" s="5"/>
      <c r="J130" s="71"/>
      <c r="K130" s="78"/>
      <c r="L130" s="20"/>
    </row>
    <row r="131" spans="1:12" s="13" customFormat="1" ht="16.5" thickBot="1" x14ac:dyDescent="0.25">
      <c r="A131" s="112" t="str">
        <f>IF(F131&lt;&gt;"",1+MAX($A$1:A130),"")</f>
        <v/>
      </c>
      <c r="B131" s="60"/>
      <c r="C131" s="26"/>
      <c r="D131" s="26" t="s">
        <v>21</v>
      </c>
      <c r="E131" s="49" t="s">
        <v>22</v>
      </c>
      <c r="F131" s="28"/>
      <c r="G131" s="23"/>
      <c r="H131" s="23"/>
      <c r="I131" s="23"/>
      <c r="J131" s="70"/>
      <c r="K131" s="63"/>
      <c r="L131" s="20"/>
    </row>
    <row r="132" spans="1:12" s="1" customFormat="1" ht="16.5" thickBot="1" x14ac:dyDescent="0.25">
      <c r="A132" s="112" t="str">
        <f>IF(F132&lt;&gt;"",1+MAX($A$1:A131),"")</f>
        <v/>
      </c>
      <c r="B132" s="30"/>
      <c r="C132" s="218"/>
      <c r="D132" s="219"/>
      <c r="E132" s="220" t="s">
        <v>60</v>
      </c>
      <c r="F132" s="221"/>
      <c r="G132" s="222"/>
      <c r="H132" s="223"/>
      <c r="I132" s="224"/>
      <c r="J132" s="225"/>
      <c r="K132" s="226"/>
      <c r="L132" s="20"/>
    </row>
    <row r="133" spans="1:12" s="184" customFormat="1" x14ac:dyDescent="0.2">
      <c r="A133" s="112" t="str">
        <f>IF(F133&lt;&gt;"",1+MAX($A$1:A132),"")</f>
        <v/>
      </c>
      <c r="B133" s="30"/>
      <c r="C133" s="200"/>
      <c r="D133" s="201"/>
      <c r="E133" s="342" t="s">
        <v>180</v>
      </c>
      <c r="F133" s="202"/>
      <c r="G133" s="3"/>
      <c r="H133" s="4"/>
      <c r="I133" s="25"/>
      <c r="J133" s="203"/>
      <c r="K133" s="204"/>
      <c r="L133" s="205"/>
    </row>
    <row r="134" spans="1:12" s="184" customFormat="1" x14ac:dyDescent="0.2">
      <c r="A134" s="112" t="str">
        <f>IF(F134&lt;&gt;"",1+MAX($A$1:A133),"")</f>
        <v/>
      </c>
      <c r="B134" s="206"/>
      <c r="C134" s="206"/>
      <c r="D134" s="201"/>
      <c r="E134" s="207" t="s">
        <v>81</v>
      </c>
      <c r="F134" s="202"/>
      <c r="G134" s="24"/>
      <c r="H134" s="208"/>
      <c r="I134" s="5"/>
      <c r="J134" s="209"/>
      <c r="K134" s="210"/>
      <c r="L134" s="205"/>
    </row>
    <row r="135" spans="1:12" s="184" customFormat="1" x14ac:dyDescent="0.2">
      <c r="A135" s="112">
        <f>IF(F135&lt;&gt;"",1+MAX($A$1:A134),"")</f>
        <v>69</v>
      </c>
      <c r="B135" s="2" t="s">
        <v>143</v>
      </c>
      <c r="C135" s="2"/>
      <c r="D135" s="211"/>
      <c r="E135" s="212" t="s">
        <v>181</v>
      </c>
      <c r="F135" s="17">
        <f>145*8*2+26.8*8</f>
        <v>2534.4</v>
      </c>
      <c r="G135" s="127">
        <v>7.0000000000000007E-2</v>
      </c>
      <c r="H135" s="31">
        <f>F135*(1+G135)</f>
        <v>2711.8080000000004</v>
      </c>
      <c r="I135" s="32" t="s">
        <v>18</v>
      </c>
      <c r="J135" s="130">
        <v>0</v>
      </c>
      <c r="K135" s="204">
        <f>J135*H135</f>
        <v>0</v>
      </c>
      <c r="L135" s="205"/>
    </row>
    <row r="136" spans="1:12" s="184" customFormat="1" x14ac:dyDescent="0.2">
      <c r="A136" s="112" t="str">
        <f>IF(F136&lt;&gt;"",1+MAX($A$1:A135),"")</f>
        <v/>
      </c>
      <c r="B136" s="43"/>
      <c r="C136" s="43"/>
      <c r="D136" s="213"/>
      <c r="E136" s="214" t="s">
        <v>50</v>
      </c>
      <c r="F136" s="215"/>
      <c r="G136" s="216"/>
      <c r="H136" s="31">
        <f>ROUNDUP((H135)/32,0)</f>
        <v>85</v>
      </c>
      <c r="I136" s="32" t="s">
        <v>51</v>
      </c>
      <c r="J136" s="203"/>
      <c r="K136" s="204"/>
      <c r="L136" s="205"/>
    </row>
    <row r="137" spans="1:12" s="184" customFormat="1" x14ac:dyDescent="0.2">
      <c r="A137" s="112" t="str">
        <f>IF(F137&lt;&gt;"",1+MAX($A$1:A136),"")</f>
        <v/>
      </c>
      <c r="B137" s="43"/>
      <c r="C137" s="43"/>
      <c r="D137" s="213"/>
      <c r="E137" s="214" t="s">
        <v>52</v>
      </c>
      <c r="F137" s="215"/>
      <c r="G137" s="216"/>
      <c r="H137" s="31">
        <f>ROUNDUP(H136*24/500,0)</f>
        <v>5</v>
      </c>
      <c r="I137" s="32" t="s">
        <v>53</v>
      </c>
      <c r="J137" s="203"/>
      <c r="K137" s="204"/>
      <c r="L137" s="205"/>
    </row>
    <row r="138" spans="1:12" s="184" customFormat="1" x14ac:dyDescent="0.2">
      <c r="A138" s="112" t="str">
        <f>IF(F138&lt;&gt;"",1+MAX($A$1:A137),"")</f>
        <v/>
      </c>
      <c r="B138" s="43"/>
      <c r="C138" s="43"/>
      <c r="D138" s="213"/>
      <c r="E138" s="214" t="s">
        <v>54</v>
      </c>
      <c r="F138" s="215"/>
      <c r="G138" s="216"/>
      <c r="H138" s="217">
        <f>ROUNDUP((H135)/200,0)</f>
        <v>14</v>
      </c>
      <c r="I138" s="32" t="s">
        <v>55</v>
      </c>
      <c r="J138" s="203"/>
      <c r="K138" s="204"/>
      <c r="L138" s="205"/>
    </row>
    <row r="139" spans="1:12" s="184" customFormat="1" x14ac:dyDescent="0.2">
      <c r="A139" s="112" t="str">
        <f>IF(F139&lt;&gt;"",1+MAX($A$1:A138),"")</f>
        <v/>
      </c>
      <c r="B139" s="43"/>
      <c r="C139" s="43"/>
      <c r="D139" s="213"/>
      <c r="E139" s="214" t="s">
        <v>56</v>
      </c>
      <c r="F139" s="215"/>
      <c r="G139" s="216"/>
      <c r="H139" s="217">
        <f>ROUNDUP((H135)*5.25/1000,0)</f>
        <v>15</v>
      </c>
      <c r="I139" s="32" t="s">
        <v>57</v>
      </c>
      <c r="J139" s="203"/>
      <c r="K139" s="204"/>
      <c r="L139" s="205"/>
    </row>
    <row r="140" spans="1:12" s="184" customFormat="1" x14ac:dyDescent="0.2">
      <c r="A140" s="112">
        <f>IF(F140&lt;&gt;"",1+MAX($A$1:A139),"")</f>
        <v>70</v>
      </c>
      <c r="B140" s="2" t="s">
        <v>143</v>
      </c>
      <c r="C140" s="2"/>
      <c r="D140" s="211"/>
      <c r="E140" s="212" t="s">
        <v>182</v>
      </c>
      <c r="F140" s="17">
        <f>26.8*8</f>
        <v>214.4</v>
      </c>
      <c r="G140" s="127">
        <v>7.0000000000000007E-2</v>
      </c>
      <c r="H140" s="31">
        <f>F140*(1+G140)</f>
        <v>229.40800000000002</v>
      </c>
      <c r="I140" s="32" t="s">
        <v>18</v>
      </c>
      <c r="J140" s="130">
        <v>0</v>
      </c>
      <c r="K140" s="204">
        <f>J140*H140</f>
        <v>0</v>
      </c>
      <c r="L140" s="205"/>
    </row>
    <row r="141" spans="1:12" s="184" customFormat="1" x14ac:dyDescent="0.2">
      <c r="A141" s="112" t="str">
        <f>IF(F141&lt;&gt;"",1+MAX($A$1:A140),"")</f>
        <v/>
      </c>
      <c r="B141" s="43"/>
      <c r="C141" s="43"/>
      <c r="D141" s="213"/>
      <c r="E141" s="214" t="s">
        <v>50</v>
      </c>
      <c r="F141" s="215"/>
      <c r="G141" s="216"/>
      <c r="H141" s="31">
        <f>ROUNDUP((H140)/32,0)</f>
        <v>8</v>
      </c>
      <c r="I141" s="32" t="s">
        <v>51</v>
      </c>
      <c r="J141" s="203"/>
      <c r="K141" s="204"/>
      <c r="L141" s="205"/>
    </row>
    <row r="142" spans="1:12" s="184" customFormat="1" x14ac:dyDescent="0.2">
      <c r="A142" s="112" t="str">
        <f>IF(F142&lt;&gt;"",1+MAX($A$1:A141),"")</f>
        <v/>
      </c>
      <c r="B142" s="43"/>
      <c r="C142" s="43"/>
      <c r="D142" s="213"/>
      <c r="E142" s="214" t="s">
        <v>52</v>
      </c>
      <c r="F142" s="215"/>
      <c r="G142" s="216"/>
      <c r="H142" s="31">
        <f>ROUNDUP(H141*24/500,0)</f>
        <v>1</v>
      </c>
      <c r="I142" s="32" t="s">
        <v>53</v>
      </c>
      <c r="J142" s="203"/>
      <c r="K142" s="204"/>
      <c r="L142" s="205"/>
    </row>
    <row r="143" spans="1:12" s="184" customFormat="1" x14ac:dyDescent="0.2">
      <c r="A143" s="112" t="str">
        <f>IF(F143&lt;&gt;"",1+MAX($A$1:A142),"")</f>
        <v/>
      </c>
      <c r="B143" s="43"/>
      <c r="C143" s="43"/>
      <c r="D143" s="213"/>
      <c r="E143" s="214" t="s">
        <v>54</v>
      </c>
      <c r="F143" s="215"/>
      <c r="G143" s="216"/>
      <c r="H143" s="217">
        <f>ROUNDUP((H140)/200,0)</f>
        <v>2</v>
      </c>
      <c r="I143" s="32" t="s">
        <v>55</v>
      </c>
      <c r="J143" s="203"/>
      <c r="K143" s="204"/>
      <c r="L143" s="205"/>
    </row>
    <row r="144" spans="1:12" s="184" customFormat="1" x14ac:dyDescent="0.2">
      <c r="A144" s="112" t="str">
        <f>IF(F144&lt;&gt;"",1+MAX($A$1:A143),"")</f>
        <v/>
      </c>
      <c r="B144" s="43"/>
      <c r="C144" s="43"/>
      <c r="D144" s="213"/>
      <c r="E144" s="214" t="s">
        <v>56</v>
      </c>
      <c r="F144" s="215"/>
      <c r="G144" s="216"/>
      <c r="H144" s="217">
        <f>ROUNDUP((H140)*5.25/1000,0)</f>
        <v>2</v>
      </c>
      <c r="I144" s="32" t="s">
        <v>57</v>
      </c>
      <c r="J144" s="203"/>
      <c r="K144" s="204"/>
      <c r="L144" s="205"/>
    </row>
    <row r="145" spans="1:12" s="184" customFormat="1" x14ac:dyDescent="0.2">
      <c r="A145" s="112">
        <f>IF(F145&lt;&gt;"",1+MAX($A$1:A144),"")</f>
        <v>71</v>
      </c>
      <c r="B145" s="2" t="s">
        <v>143</v>
      </c>
      <c r="C145" s="2"/>
      <c r="D145" s="213"/>
      <c r="E145" s="212" t="s">
        <v>58</v>
      </c>
      <c r="F145" s="17">
        <f>171.8*4</f>
        <v>687.2</v>
      </c>
      <c r="G145" s="127">
        <v>7.0000000000000007E-2</v>
      </c>
      <c r="H145" s="31">
        <f>F145*(1+G145)</f>
        <v>735.30400000000009</v>
      </c>
      <c r="I145" s="32" t="s">
        <v>15</v>
      </c>
      <c r="J145" s="130">
        <v>0</v>
      </c>
      <c r="K145" s="204">
        <f>J145*H145</f>
        <v>0</v>
      </c>
      <c r="L145" s="205"/>
    </row>
    <row r="146" spans="1:12" s="251" customFormat="1" x14ac:dyDescent="0.2">
      <c r="A146" s="112" t="str">
        <f>IF(F146&lt;&gt;"",1+MAX($A$1:A145),"")</f>
        <v/>
      </c>
      <c r="B146" s="2"/>
      <c r="C146" s="2"/>
      <c r="D146" s="58"/>
      <c r="E146" s="343"/>
      <c r="F146" s="344"/>
      <c r="G146" s="127"/>
      <c r="H146" s="31"/>
      <c r="I146" s="32"/>
      <c r="J146" s="203"/>
      <c r="K146" s="345"/>
      <c r="L146" s="205"/>
    </row>
    <row r="147" spans="1:12" s="184" customFormat="1" x14ac:dyDescent="0.2">
      <c r="A147" s="112" t="str">
        <f>IF(F147&lt;&gt;"",1+MAX($A$1:A146),"")</f>
        <v/>
      </c>
      <c r="B147" s="30"/>
      <c r="C147" s="200"/>
      <c r="D147" s="201"/>
      <c r="E147" s="342" t="s">
        <v>65</v>
      </c>
      <c r="F147" s="202"/>
      <c r="G147" s="3"/>
      <c r="H147" s="4"/>
      <c r="I147" s="25"/>
      <c r="J147" s="203"/>
      <c r="K147" s="204"/>
      <c r="L147" s="205"/>
    </row>
    <row r="148" spans="1:12" s="184" customFormat="1" x14ac:dyDescent="0.2">
      <c r="A148" s="112" t="str">
        <f>IF(F148&lt;&gt;"",1+MAX($A$1:A147),"")</f>
        <v/>
      </c>
      <c r="B148" s="206"/>
      <c r="C148" s="206"/>
      <c r="D148" s="201"/>
      <c r="E148" s="207" t="s">
        <v>81</v>
      </c>
      <c r="F148" s="202"/>
      <c r="G148" s="24"/>
      <c r="H148" s="208"/>
      <c r="I148" s="5"/>
      <c r="J148" s="209"/>
      <c r="K148" s="210"/>
      <c r="L148" s="205"/>
    </row>
    <row r="149" spans="1:12" s="184" customFormat="1" x14ac:dyDescent="0.2">
      <c r="A149" s="112">
        <f>IF(F149&lt;&gt;"",1+MAX($A$1:A148),"")</f>
        <v>72</v>
      </c>
      <c r="B149" s="2" t="s">
        <v>143</v>
      </c>
      <c r="C149" s="2"/>
      <c r="D149" s="211"/>
      <c r="E149" s="212" t="s">
        <v>181</v>
      </c>
      <c r="F149" s="17">
        <f>22.3*8.167*2</f>
        <v>364.2482</v>
      </c>
      <c r="G149" s="127">
        <v>7.0000000000000007E-2</v>
      </c>
      <c r="H149" s="31">
        <f>F149*(1+G149)</f>
        <v>389.74557400000003</v>
      </c>
      <c r="I149" s="32" t="s">
        <v>18</v>
      </c>
      <c r="J149" s="203">
        <f>J$135</f>
        <v>0</v>
      </c>
      <c r="K149" s="204">
        <f>J149*H149</f>
        <v>0</v>
      </c>
      <c r="L149" s="205"/>
    </row>
    <row r="150" spans="1:12" s="184" customFormat="1" x14ac:dyDescent="0.2">
      <c r="A150" s="112" t="str">
        <f>IF(F150&lt;&gt;"",1+MAX($A$1:A149),"")</f>
        <v/>
      </c>
      <c r="B150" s="43"/>
      <c r="C150" s="43"/>
      <c r="D150" s="213"/>
      <c r="E150" s="214" t="s">
        <v>50</v>
      </c>
      <c r="F150" s="215"/>
      <c r="G150" s="216"/>
      <c r="H150" s="31">
        <f>ROUNDUP((H149)/32,0)</f>
        <v>13</v>
      </c>
      <c r="I150" s="32" t="s">
        <v>51</v>
      </c>
      <c r="J150" s="203"/>
      <c r="K150" s="204"/>
      <c r="L150" s="205"/>
    </row>
    <row r="151" spans="1:12" s="184" customFormat="1" x14ac:dyDescent="0.2">
      <c r="A151" s="112" t="str">
        <f>IF(F151&lt;&gt;"",1+MAX($A$1:A150),"")</f>
        <v/>
      </c>
      <c r="B151" s="43"/>
      <c r="C151" s="43"/>
      <c r="D151" s="213"/>
      <c r="E151" s="214" t="s">
        <v>52</v>
      </c>
      <c r="F151" s="215"/>
      <c r="G151" s="216"/>
      <c r="H151" s="31">
        <f>ROUNDUP(H150*24/500,0)</f>
        <v>1</v>
      </c>
      <c r="I151" s="32" t="s">
        <v>53</v>
      </c>
      <c r="J151" s="203"/>
      <c r="K151" s="204"/>
      <c r="L151" s="205"/>
    </row>
    <row r="152" spans="1:12" s="184" customFormat="1" x14ac:dyDescent="0.2">
      <c r="A152" s="112" t="str">
        <f>IF(F152&lt;&gt;"",1+MAX($A$1:A151),"")</f>
        <v/>
      </c>
      <c r="B152" s="43"/>
      <c r="C152" s="43"/>
      <c r="D152" s="213"/>
      <c r="E152" s="214" t="s">
        <v>54</v>
      </c>
      <c r="F152" s="215"/>
      <c r="G152" s="216"/>
      <c r="H152" s="217">
        <f>ROUNDUP((H149)/200,0)</f>
        <v>2</v>
      </c>
      <c r="I152" s="32" t="s">
        <v>55</v>
      </c>
      <c r="J152" s="203"/>
      <c r="K152" s="204"/>
      <c r="L152" s="205"/>
    </row>
    <row r="153" spans="1:12" s="184" customFormat="1" x14ac:dyDescent="0.2">
      <c r="A153" s="112" t="str">
        <f>IF(F153&lt;&gt;"",1+MAX($A$1:A152),"")</f>
        <v/>
      </c>
      <c r="B153" s="43"/>
      <c r="C153" s="43"/>
      <c r="D153" s="213"/>
      <c r="E153" s="214" t="s">
        <v>56</v>
      </c>
      <c r="F153" s="215"/>
      <c r="G153" s="216"/>
      <c r="H153" s="217">
        <f>ROUNDUP((H149)*5.25/1000,0)</f>
        <v>3</v>
      </c>
      <c r="I153" s="32" t="s">
        <v>57</v>
      </c>
      <c r="J153" s="203"/>
      <c r="K153" s="204"/>
      <c r="L153" s="205"/>
    </row>
    <row r="154" spans="1:12" s="184" customFormat="1" x14ac:dyDescent="0.2">
      <c r="A154" s="112">
        <f>IF(F154&lt;&gt;"",1+MAX($A$1:A153),"")</f>
        <v>73</v>
      </c>
      <c r="B154" s="2" t="s">
        <v>143</v>
      </c>
      <c r="C154" s="2"/>
      <c r="D154" s="213"/>
      <c r="E154" s="212" t="s">
        <v>58</v>
      </c>
      <c r="F154" s="17">
        <f>22.3*4</f>
        <v>89.2</v>
      </c>
      <c r="G154" s="127">
        <v>7.0000000000000007E-2</v>
      </c>
      <c r="H154" s="31">
        <f>F154*(1+G154)</f>
        <v>95.444000000000003</v>
      </c>
      <c r="I154" s="32" t="s">
        <v>15</v>
      </c>
      <c r="J154" s="203">
        <f>J$145</f>
        <v>0</v>
      </c>
      <c r="K154" s="204">
        <f>J154*H154</f>
        <v>0</v>
      </c>
      <c r="L154" s="205"/>
    </row>
    <row r="155" spans="1:12" s="184" customFormat="1" x14ac:dyDescent="0.2">
      <c r="A155" s="112" t="str">
        <f>IF(F155&lt;&gt;"",1+MAX($A$1:A154),"")</f>
        <v/>
      </c>
      <c r="B155" s="206"/>
      <c r="C155" s="206"/>
      <c r="D155" s="201"/>
      <c r="E155" s="207" t="s">
        <v>183</v>
      </c>
      <c r="F155" s="202"/>
      <c r="G155" s="24"/>
      <c r="H155" s="208"/>
      <c r="I155" s="5"/>
      <c r="J155" s="209"/>
      <c r="K155" s="210"/>
      <c r="L155" s="205"/>
    </row>
    <row r="156" spans="1:12" s="184" customFormat="1" x14ac:dyDescent="0.2">
      <c r="A156" s="112">
        <f>IF(F156&lt;&gt;"",1+MAX($A$1:A155),"")</f>
        <v>74</v>
      </c>
      <c r="B156" s="2" t="s">
        <v>143</v>
      </c>
      <c r="C156" s="2"/>
      <c r="D156" s="211"/>
      <c r="E156" s="212" t="s">
        <v>181</v>
      </c>
      <c r="F156" s="17">
        <f>5.1*6.67*2+2.7*6.67</f>
        <v>86.042999999999992</v>
      </c>
      <c r="G156" s="127">
        <v>7.0000000000000007E-2</v>
      </c>
      <c r="H156" s="31">
        <f>F156*(1+G156)</f>
        <v>92.066009999999991</v>
      </c>
      <c r="I156" s="32" t="s">
        <v>18</v>
      </c>
      <c r="J156" s="203">
        <f>J$135</f>
        <v>0</v>
      </c>
      <c r="K156" s="204">
        <f>J156*H156</f>
        <v>0</v>
      </c>
      <c r="L156" s="205"/>
    </row>
    <row r="157" spans="1:12" s="184" customFormat="1" x14ac:dyDescent="0.2">
      <c r="A157" s="112" t="str">
        <f>IF(F157&lt;&gt;"",1+MAX($A$1:A156),"")</f>
        <v/>
      </c>
      <c r="B157" s="43"/>
      <c r="C157" s="43"/>
      <c r="D157" s="213"/>
      <c r="E157" s="214" t="s">
        <v>50</v>
      </c>
      <c r="F157" s="215"/>
      <c r="G157" s="216"/>
      <c r="H157" s="31">
        <f>ROUNDUP((H156)/32,0)</f>
        <v>3</v>
      </c>
      <c r="I157" s="32" t="s">
        <v>51</v>
      </c>
      <c r="J157" s="203"/>
      <c r="K157" s="204"/>
      <c r="L157" s="205"/>
    </row>
    <row r="158" spans="1:12" s="184" customFormat="1" x14ac:dyDescent="0.2">
      <c r="A158" s="112" t="str">
        <f>IF(F158&lt;&gt;"",1+MAX($A$1:A157),"")</f>
        <v/>
      </c>
      <c r="B158" s="43"/>
      <c r="C158" s="43"/>
      <c r="D158" s="213"/>
      <c r="E158" s="214" t="s">
        <v>52</v>
      </c>
      <c r="F158" s="215"/>
      <c r="G158" s="216"/>
      <c r="H158" s="31">
        <f>ROUNDUP(H157*24/500,0)</f>
        <v>1</v>
      </c>
      <c r="I158" s="32" t="s">
        <v>53</v>
      </c>
      <c r="J158" s="203"/>
      <c r="K158" s="204"/>
      <c r="L158" s="205"/>
    </row>
    <row r="159" spans="1:12" s="184" customFormat="1" x14ac:dyDescent="0.2">
      <c r="A159" s="112" t="str">
        <f>IF(F159&lt;&gt;"",1+MAX($A$1:A158),"")</f>
        <v/>
      </c>
      <c r="B159" s="43"/>
      <c r="C159" s="43"/>
      <c r="D159" s="213"/>
      <c r="E159" s="214" t="s">
        <v>54</v>
      </c>
      <c r="F159" s="215"/>
      <c r="G159" s="216"/>
      <c r="H159" s="217">
        <f>ROUNDUP((H156)/200,0)</f>
        <v>1</v>
      </c>
      <c r="I159" s="32" t="s">
        <v>55</v>
      </c>
      <c r="J159" s="203"/>
      <c r="K159" s="204"/>
      <c r="L159" s="205"/>
    </row>
    <row r="160" spans="1:12" s="184" customFormat="1" x14ac:dyDescent="0.2">
      <c r="A160" s="112" t="str">
        <f>IF(F160&lt;&gt;"",1+MAX($A$1:A159),"")</f>
        <v/>
      </c>
      <c r="B160" s="43"/>
      <c r="C160" s="43"/>
      <c r="D160" s="213"/>
      <c r="E160" s="214" t="s">
        <v>56</v>
      </c>
      <c r="F160" s="215"/>
      <c r="G160" s="216"/>
      <c r="H160" s="217">
        <f>ROUNDUP((H156)*5.25/1000,0)</f>
        <v>1</v>
      </c>
      <c r="I160" s="32" t="s">
        <v>57</v>
      </c>
      <c r="J160" s="203"/>
      <c r="K160" s="204"/>
      <c r="L160" s="205"/>
    </row>
    <row r="161" spans="1:12" s="184" customFormat="1" x14ac:dyDescent="0.2">
      <c r="A161" s="112">
        <f>IF(F161&lt;&gt;"",1+MAX($A$1:A160),"")</f>
        <v>75</v>
      </c>
      <c r="B161" s="2" t="s">
        <v>143</v>
      </c>
      <c r="C161" s="2"/>
      <c r="D161" s="211"/>
      <c r="E161" s="212" t="s">
        <v>182</v>
      </c>
      <c r="F161" s="17">
        <f>2.7*6.67</f>
        <v>18.009</v>
      </c>
      <c r="G161" s="127">
        <v>7.0000000000000007E-2</v>
      </c>
      <c r="H161" s="31">
        <f>F161*(1+G161)</f>
        <v>19.269630000000003</v>
      </c>
      <c r="I161" s="32" t="s">
        <v>18</v>
      </c>
      <c r="J161" s="203">
        <f>J$140</f>
        <v>0</v>
      </c>
      <c r="K161" s="204">
        <f>J161*H161</f>
        <v>0</v>
      </c>
      <c r="L161" s="205"/>
    </row>
    <row r="162" spans="1:12" s="184" customFormat="1" x14ac:dyDescent="0.2">
      <c r="A162" s="112" t="str">
        <f>IF(F162&lt;&gt;"",1+MAX($A$1:A161),"")</f>
        <v/>
      </c>
      <c r="B162" s="43"/>
      <c r="C162" s="43"/>
      <c r="D162" s="213"/>
      <c r="E162" s="214" t="s">
        <v>50</v>
      </c>
      <c r="F162" s="215"/>
      <c r="G162" s="216"/>
      <c r="H162" s="31">
        <f>ROUNDUP((H161)/32,0)</f>
        <v>1</v>
      </c>
      <c r="I162" s="32" t="s">
        <v>51</v>
      </c>
      <c r="J162" s="203"/>
      <c r="K162" s="204"/>
      <c r="L162" s="205"/>
    </row>
    <row r="163" spans="1:12" s="184" customFormat="1" x14ac:dyDescent="0.2">
      <c r="A163" s="112" t="str">
        <f>IF(F163&lt;&gt;"",1+MAX($A$1:A162),"")</f>
        <v/>
      </c>
      <c r="B163" s="43"/>
      <c r="C163" s="43"/>
      <c r="D163" s="213"/>
      <c r="E163" s="214" t="s">
        <v>52</v>
      </c>
      <c r="F163" s="215"/>
      <c r="G163" s="216"/>
      <c r="H163" s="31">
        <f>ROUNDUP(H162*24/500,0)</f>
        <v>1</v>
      </c>
      <c r="I163" s="32" t="s">
        <v>53</v>
      </c>
      <c r="J163" s="203"/>
      <c r="K163" s="204"/>
      <c r="L163" s="205"/>
    </row>
    <row r="164" spans="1:12" s="184" customFormat="1" x14ac:dyDescent="0.2">
      <c r="A164" s="112" t="str">
        <f>IF(F164&lt;&gt;"",1+MAX($A$1:A163),"")</f>
        <v/>
      </c>
      <c r="B164" s="43"/>
      <c r="C164" s="43"/>
      <c r="D164" s="213"/>
      <c r="E164" s="214" t="s">
        <v>54</v>
      </c>
      <c r="F164" s="215"/>
      <c r="G164" s="216"/>
      <c r="H164" s="217">
        <f>ROUNDUP((H161)/200,0)</f>
        <v>1</v>
      </c>
      <c r="I164" s="32" t="s">
        <v>55</v>
      </c>
      <c r="J164" s="203"/>
      <c r="K164" s="204"/>
      <c r="L164" s="205"/>
    </row>
    <row r="165" spans="1:12" s="184" customFormat="1" x14ac:dyDescent="0.2">
      <c r="A165" s="112" t="str">
        <f>IF(F165&lt;&gt;"",1+MAX($A$1:A164),"")</f>
        <v/>
      </c>
      <c r="B165" s="43"/>
      <c r="C165" s="43"/>
      <c r="D165" s="213"/>
      <c r="E165" s="214" t="s">
        <v>56</v>
      </c>
      <c r="F165" s="215"/>
      <c r="G165" s="216"/>
      <c r="H165" s="217">
        <f>ROUNDUP((H161)*5.25/1000,0)</f>
        <v>1</v>
      </c>
      <c r="I165" s="32" t="s">
        <v>57</v>
      </c>
      <c r="J165" s="203"/>
      <c r="K165" s="204"/>
      <c r="L165" s="205"/>
    </row>
    <row r="166" spans="1:12" s="184" customFormat="1" x14ac:dyDescent="0.2">
      <c r="A166" s="112">
        <f>IF(F166&lt;&gt;"",1+MAX($A$1:A165),"")</f>
        <v>76</v>
      </c>
      <c r="B166" s="2" t="s">
        <v>143</v>
      </c>
      <c r="C166" s="2"/>
      <c r="D166" s="213"/>
      <c r="E166" s="212" t="s">
        <v>58</v>
      </c>
      <c r="F166" s="17">
        <f>7.8*4</f>
        <v>31.2</v>
      </c>
      <c r="G166" s="127">
        <v>7.0000000000000007E-2</v>
      </c>
      <c r="H166" s="31">
        <f>F166*(1+G166)</f>
        <v>33.384</v>
      </c>
      <c r="I166" s="32" t="s">
        <v>15</v>
      </c>
      <c r="J166" s="203">
        <f>J$145</f>
        <v>0</v>
      </c>
      <c r="K166" s="204">
        <f>J166*H166</f>
        <v>0</v>
      </c>
      <c r="L166" s="205"/>
    </row>
    <row r="167" spans="1:12" s="1" customFormat="1" ht="16.5" thickBot="1" x14ac:dyDescent="0.25">
      <c r="A167" s="112" t="str">
        <f>IF(F167&lt;&gt;"",1+MAX($A$1:A166),"")</f>
        <v/>
      </c>
      <c r="B167" s="43"/>
      <c r="C167" s="373"/>
      <c r="D167" s="39"/>
      <c r="F167" s="44"/>
      <c r="G167" s="45"/>
      <c r="H167" s="44"/>
      <c r="I167" s="46"/>
      <c r="J167" s="73"/>
      <c r="K167" s="65"/>
      <c r="L167" s="56"/>
    </row>
    <row r="168" spans="1:12" s="1" customFormat="1" ht="16.5" thickBot="1" x14ac:dyDescent="0.25">
      <c r="A168" s="112" t="str">
        <f>IF(F168&lt;&gt;"",1+MAX($A$1:A167),"")</f>
        <v/>
      </c>
      <c r="B168" s="2"/>
      <c r="C168" s="373"/>
      <c r="D168" s="39"/>
      <c r="E168" s="53" t="s">
        <v>66</v>
      </c>
      <c r="F168" s="29"/>
      <c r="G168" s="24"/>
      <c r="H168" s="4"/>
      <c r="I168" s="25"/>
      <c r="J168" s="74"/>
      <c r="K168" s="68"/>
      <c r="L168" s="57">
        <f>SUM(K132:K167)</f>
        <v>0</v>
      </c>
    </row>
    <row r="169" spans="1:12" s="143" customFormat="1" ht="19.5" thickBot="1" x14ac:dyDescent="0.25">
      <c r="A169" s="112" t="str">
        <f>IF(F169&lt;&gt;"",1+MAX($A$1:A168),"")</f>
        <v/>
      </c>
      <c r="B169" s="122"/>
      <c r="C169" s="374"/>
      <c r="D169" s="145"/>
      <c r="E169" s="138"/>
      <c r="F169" s="139"/>
      <c r="G169" s="127"/>
      <c r="H169" s="140"/>
      <c r="I169" s="141"/>
      <c r="J169" s="134"/>
      <c r="K169" s="142"/>
      <c r="L169" s="132"/>
    </row>
    <row r="170" spans="1:12" s="1" customFormat="1" ht="16.5" thickBot="1" x14ac:dyDescent="0.25">
      <c r="A170" s="112" t="str">
        <f>IF(F170&lt;&gt;"",1+MAX($A$1:A169),"")</f>
        <v/>
      </c>
      <c r="B170" s="30"/>
      <c r="C170" s="375"/>
      <c r="D170" s="219"/>
      <c r="E170" s="220" t="s">
        <v>67</v>
      </c>
      <c r="F170" s="221"/>
      <c r="G170" s="222"/>
      <c r="H170" s="223"/>
      <c r="I170" s="224"/>
      <c r="J170" s="229"/>
      <c r="K170" s="230"/>
      <c r="L170" s="20"/>
    </row>
    <row r="171" spans="1:12" s="143" customFormat="1" ht="47.25" x14ac:dyDescent="0.2">
      <c r="A171" s="112">
        <f>IF(F171&lt;&gt;"",1+MAX($A$1:A170),"")</f>
        <v>77</v>
      </c>
      <c r="B171" s="2" t="s">
        <v>143</v>
      </c>
      <c r="C171" s="376"/>
      <c r="D171" s="145"/>
      <c r="E171" s="138" t="s">
        <v>177</v>
      </c>
      <c r="F171" s="139">
        <v>713</v>
      </c>
      <c r="G171" s="127">
        <v>7.0000000000000007E-2</v>
      </c>
      <c r="H171" s="128">
        <f t="shared" ref="H171" si="52">F171*(1+G171)</f>
        <v>762.91000000000008</v>
      </c>
      <c r="I171" s="129" t="s">
        <v>18</v>
      </c>
      <c r="J171" s="130">
        <v>0</v>
      </c>
      <c r="K171" s="131">
        <f t="shared" ref="K171" si="53">J171*H171</f>
        <v>0</v>
      </c>
      <c r="L171" s="132"/>
    </row>
    <row r="172" spans="1:12" s="1" customFormat="1" ht="16.5" thickBot="1" x14ac:dyDescent="0.25">
      <c r="A172" s="112" t="str">
        <f>IF(F172&lt;&gt;"",1+MAX($A$1:A171),"")</f>
        <v/>
      </c>
      <c r="B172" s="43"/>
      <c r="C172" s="373"/>
      <c r="D172" s="39"/>
      <c r="F172" s="44"/>
      <c r="G172" s="45"/>
      <c r="H172" s="44"/>
      <c r="I172" s="46"/>
      <c r="J172" s="73"/>
      <c r="K172" s="65"/>
      <c r="L172" s="56"/>
    </row>
    <row r="173" spans="1:12" s="1" customFormat="1" ht="16.5" thickBot="1" x14ac:dyDescent="0.25">
      <c r="A173" s="112" t="str">
        <f>IF(F173&lt;&gt;"",1+MAX($A$1:A172),"")</f>
        <v/>
      </c>
      <c r="B173" s="2"/>
      <c r="C173" s="373"/>
      <c r="D173" s="39"/>
      <c r="E173" s="53" t="s">
        <v>68</v>
      </c>
      <c r="F173" s="29"/>
      <c r="G173" s="24"/>
      <c r="H173" s="4"/>
      <c r="I173" s="25"/>
      <c r="J173" s="74"/>
      <c r="K173" s="68"/>
      <c r="L173" s="57">
        <f>SUM(K170:K172)</f>
        <v>0</v>
      </c>
    </row>
    <row r="174" spans="1:12" s="143" customFormat="1" ht="19.5" thickBot="1" x14ac:dyDescent="0.25">
      <c r="A174" s="112" t="str">
        <f>IF(F174&lt;&gt;"",1+MAX($A$1:A173),"")</f>
        <v/>
      </c>
      <c r="B174" s="122"/>
      <c r="C174" s="374"/>
      <c r="D174" s="145"/>
      <c r="E174" s="138"/>
      <c r="F174" s="139"/>
      <c r="G174" s="127"/>
      <c r="H174" s="140"/>
      <c r="I174" s="141"/>
      <c r="J174" s="134"/>
      <c r="K174" s="142"/>
      <c r="L174" s="132"/>
    </row>
    <row r="175" spans="1:12" s="1" customFormat="1" ht="16.5" thickBot="1" x14ac:dyDescent="0.25">
      <c r="A175" s="112" t="str">
        <f>IF(F175&lt;&gt;"",1+MAX($A$1:A174),"")</f>
        <v/>
      </c>
      <c r="B175" s="30"/>
      <c r="C175" s="375"/>
      <c r="D175" s="219"/>
      <c r="E175" s="220" t="s">
        <v>86</v>
      </c>
      <c r="F175" s="221"/>
      <c r="G175" s="222"/>
      <c r="H175" s="223"/>
      <c r="I175" s="224"/>
      <c r="J175" s="229"/>
      <c r="K175" s="230"/>
      <c r="L175" s="20"/>
    </row>
    <row r="176" spans="1:12" s="133" customFormat="1" ht="18.75" x14ac:dyDescent="0.2">
      <c r="A176" s="112">
        <f>IF(F176&lt;&gt;"",1+MAX($A$1:A175),"")</f>
        <v>78</v>
      </c>
      <c r="B176" s="2" t="s">
        <v>143</v>
      </c>
      <c r="C176" s="376"/>
      <c r="D176" s="124"/>
      <c r="E176" s="125" t="s">
        <v>153</v>
      </c>
      <c r="F176" s="126">
        <f>34.8+4.1*0.5*2</f>
        <v>38.9</v>
      </c>
      <c r="G176" s="127">
        <v>7.0000000000000007E-2</v>
      </c>
      <c r="H176" s="128">
        <f t="shared" ref="H176" si="54">F176*(1+G176)</f>
        <v>41.622999999999998</v>
      </c>
      <c r="I176" s="129" t="s">
        <v>18</v>
      </c>
      <c r="J176" s="130">
        <v>0</v>
      </c>
      <c r="K176" s="131">
        <f>J176*H176</f>
        <v>0</v>
      </c>
      <c r="L176" s="132"/>
    </row>
    <row r="177" spans="1:12" s="133" customFormat="1" ht="18.75" x14ac:dyDescent="0.2">
      <c r="A177" s="112">
        <f>IF(F177&lt;&gt;"",1+MAX($A$1:A176),"")</f>
        <v>79</v>
      </c>
      <c r="B177" s="2" t="s">
        <v>143</v>
      </c>
      <c r="C177" s="376"/>
      <c r="D177" s="124"/>
      <c r="E177" s="125" t="s">
        <v>154</v>
      </c>
      <c r="F177" s="126">
        <f>22.7*8+2.7*1.334+2.6*6.67</f>
        <v>202.54379999999998</v>
      </c>
      <c r="G177" s="127">
        <v>7.0000000000000007E-2</v>
      </c>
      <c r="H177" s="128">
        <f t="shared" ref="H177" si="55">F177*(1+G177)</f>
        <v>216.72186599999998</v>
      </c>
      <c r="I177" s="129" t="s">
        <v>18</v>
      </c>
      <c r="J177" s="130">
        <v>0</v>
      </c>
      <c r="K177" s="131">
        <f>J177*H177</f>
        <v>0</v>
      </c>
      <c r="L177" s="132"/>
    </row>
    <row r="178" spans="1:12" s="1" customFormat="1" ht="16.5" thickBot="1" x14ac:dyDescent="0.25">
      <c r="A178" s="112" t="str">
        <f>IF(F178&lt;&gt;"",1+MAX($A$1:A177),"")</f>
        <v/>
      </c>
      <c r="B178" s="43"/>
      <c r="C178" s="377"/>
      <c r="D178" s="39"/>
      <c r="F178" s="44"/>
      <c r="G178" s="45"/>
      <c r="H178" s="44"/>
      <c r="I178" s="46"/>
      <c r="J178" s="73"/>
      <c r="K178" s="65"/>
      <c r="L178" s="56"/>
    </row>
    <row r="179" spans="1:12" s="1" customFormat="1" ht="16.5" thickBot="1" x14ac:dyDescent="0.25">
      <c r="A179" s="112" t="str">
        <f>IF(F179&lt;&gt;"",1+MAX($A$1:A178),"")</f>
        <v/>
      </c>
      <c r="B179" s="2"/>
      <c r="C179" s="377"/>
      <c r="D179" s="39"/>
      <c r="E179" s="53" t="s">
        <v>87</v>
      </c>
      <c r="F179" s="29"/>
      <c r="G179" s="24"/>
      <c r="H179" s="4"/>
      <c r="I179" s="25"/>
      <c r="J179" s="74"/>
      <c r="K179" s="68"/>
      <c r="L179" s="57">
        <f>SUM(K175:K178)</f>
        <v>0</v>
      </c>
    </row>
    <row r="180" spans="1:12" s="143" customFormat="1" ht="19.5" thickBot="1" x14ac:dyDescent="0.25">
      <c r="A180" s="112" t="str">
        <f>IF(F180&lt;&gt;"",1+MAX($A$1:A179),"")</f>
        <v/>
      </c>
      <c r="B180" s="122"/>
      <c r="C180" s="376"/>
      <c r="D180" s="145"/>
      <c r="E180" s="138"/>
      <c r="F180" s="139"/>
      <c r="G180" s="127"/>
      <c r="H180" s="140"/>
      <c r="I180" s="141"/>
      <c r="J180" s="134"/>
      <c r="K180" s="142"/>
      <c r="L180" s="132"/>
    </row>
    <row r="181" spans="1:12" s="1" customFormat="1" ht="16.5" thickBot="1" x14ac:dyDescent="0.25">
      <c r="A181" s="112" t="str">
        <f>IF(F181&lt;&gt;"",1+MAX($A$1:A180),"")</f>
        <v/>
      </c>
      <c r="B181" s="30"/>
      <c r="C181" s="378"/>
      <c r="D181" s="219"/>
      <c r="E181" s="220" t="s">
        <v>83</v>
      </c>
      <c r="F181" s="221"/>
      <c r="G181" s="222"/>
      <c r="H181" s="223"/>
      <c r="I181" s="224"/>
      <c r="J181" s="229"/>
      <c r="K181" s="230"/>
      <c r="L181" s="20"/>
    </row>
    <row r="182" spans="1:12" s="133" customFormat="1" ht="18.75" x14ac:dyDescent="0.2">
      <c r="A182" s="112">
        <f>IF(F182&lt;&gt;"",1+MAX($A$1:A181),"")</f>
        <v>80</v>
      </c>
      <c r="B182" s="2" t="s">
        <v>143</v>
      </c>
      <c r="C182" s="376"/>
      <c r="D182" s="124"/>
      <c r="E182" s="125" t="s">
        <v>84</v>
      </c>
      <c r="F182" s="126">
        <f>693.6</f>
        <v>693.6</v>
      </c>
      <c r="G182" s="127">
        <v>7.0000000000000007E-2</v>
      </c>
      <c r="H182" s="128">
        <f t="shared" ref="H182" si="56">F182*(1+G182)</f>
        <v>742.15200000000004</v>
      </c>
      <c r="I182" s="129" t="s">
        <v>18</v>
      </c>
      <c r="J182" s="130">
        <v>0</v>
      </c>
      <c r="K182" s="131">
        <f>J182*H182</f>
        <v>0</v>
      </c>
      <c r="L182" s="132"/>
    </row>
    <row r="183" spans="1:12" s="1" customFormat="1" ht="16.5" thickBot="1" x14ac:dyDescent="0.25">
      <c r="A183" s="112" t="str">
        <f>IF(F183&lt;&gt;"",1+MAX($A$1:A182),"")</f>
        <v/>
      </c>
      <c r="B183" s="43"/>
      <c r="C183" s="373"/>
      <c r="D183" s="39"/>
      <c r="F183" s="44"/>
      <c r="G183" s="45"/>
      <c r="H183" s="44"/>
      <c r="I183" s="46"/>
      <c r="J183" s="73"/>
      <c r="K183" s="65"/>
      <c r="L183" s="56"/>
    </row>
    <row r="184" spans="1:12" s="1" customFormat="1" ht="16.5" thickBot="1" x14ac:dyDescent="0.25">
      <c r="A184" s="112" t="str">
        <f>IF(F184&lt;&gt;"",1+MAX($A$1:A183),"")</f>
        <v/>
      </c>
      <c r="B184" s="2"/>
      <c r="C184" s="373"/>
      <c r="D184" s="39"/>
      <c r="E184" s="53" t="s">
        <v>85</v>
      </c>
      <c r="F184" s="29"/>
      <c r="G184" s="24"/>
      <c r="H184" s="4"/>
      <c r="I184" s="25"/>
      <c r="J184" s="74"/>
      <c r="K184" s="68"/>
      <c r="L184" s="57">
        <f>SUM(K181:K183)</f>
        <v>0</v>
      </c>
    </row>
    <row r="185" spans="1:12" s="143" customFormat="1" ht="19.5" thickBot="1" x14ac:dyDescent="0.25">
      <c r="A185" s="112" t="str">
        <f>IF(F185&lt;&gt;"",1+MAX($A$1:A184),"")</f>
        <v/>
      </c>
      <c r="B185" s="122"/>
      <c r="C185" s="374"/>
      <c r="D185" s="145"/>
      <c r="E185" s="138"/>
      <c r="F185" s="139"/>
      <c r="G185" s="127"/>
      <c r="H185" s="140"/>
      <c r="I185" s="141"/>
      <c r="J185" s="134"/>
      <c r="K185" s="142"/>
      <c r="L185" s="132"/>
    </row>
    <row r="186" spans="1:12" s="1" customFormat="1" ht="16.5" thickBot="1" x14ac:dyDescent="0.25">
      <c r="A186" s="112" t="str">
        <f>IF(F186&lt;&gt;"",1+MAX($A$1:A185),"")</f>
        <v/>
      </c>
      <c r="B186" s="30"/>
      <c r="C186" s="375"/>
      <c r="D186" s="219"/>
      <c r="E186" s="220" t="s">
        <v>179</v>
      </c>
      <c r="F186" s="221"/>
      <c r="G186" s="222"/>
      <c r="H186" s="223"/>
      <c r="I186" s="224"/>
      <c r="J186" s="229"/>
      <c r="K186" s="230"/>
      <c r="L186" s="20"/>
    </row>
    <row r="187" spans="1:12" s="133" customFormat="1" ht="18.75" x14ac:dyDescent="0.2">
      <c r="A187" s="112">
        <f>IF(F187&lt;&gt;"",1+MAX($A$1:A186),"")</f>
        <v>81</v>
      </c>
      <c r="B187" s="2" t="s">
        <v>143</v>
      </c>
      <c r="C187" s="376"/>
      <c r="D187" s="124"/>
      <c r="E187" s="125" t="s">
        <v>130</v>
      </c>
      <c r="F187" s="139">
        <f>236-2.334-2.67</f>
        <v>230.99600000000001</v>
      </c>
      <c r="G187" s="127">
        <v>7.0000000000000007E-2</v>
      </c>
      <c r="H187" s="128">
        <f t="shared" ref="H187" si="57">F187*(1+G187)</f>
        <v>247.16572000000002</v>
      </c>
      <c r="I187" s="129" t="s">
        <v>15</v>
      </c>
      <c r="J187" s="130">
        <v>0</v>
      </c>
      <c r="K187" s="131">
        <f>J187*H187</f>
        <v>0</v>
      </c>
      <c r="L187" s="132"/>
    </row>
    <row r="188" spans="1:12" s="1" customFormat="1" ht="16.5" thickBot="1" x14ac:dyDescent="0.25">
      <c r="A188" s="112" t="str">
        <f>IF(F188&lt;&gt;"",1+MAX($A$1:A187),"")</f>
        <v/>
      </c>
      <c r="B188" s="43"/>
      <c r="C188" s="373"/>
      <c r="D188" s="39"/>
      <c r="E188" s="1" t="s">
        <v>121</v>
      </c>
      <c r="F188" s="44"/>
      <c r="G188" s="45"/>
      <c r="H188" s="44"/>
      <c r="I188" s="46"/>
      <c r="J188" s="73"/>
      <c r="K188" s="65"/>
      <c r="L188" s="56"/>
    </row>
    <row r="189" spans="1:12" s="1" customFormat="1" ht="16.5" thickBot="1" x14ac:dyDescent="0.25">
      <c r="A189" s="112" t="str">
        <f>IF(F189&lt;&gt;"",1+MAX($A$1:A188),"")</f>
        <v/>
      </c>
      <c r="B189" s="2"/>
      <c r="C189" s="373"/>
      <c r="D189" s="39"/>
      <c r="E189" s="53" t="s">
        <v>178</v>
      </c>
      <c r="F189" s="29"/>
      <c r="G189" s="24"/>
      <c r="H189" s="4"/>
      <c r="I189" s="25"/>
      <c r="J189" s="74"/>
      <c r="K189" s="68"/>
      <c r="L189" s="57">
        <f>SUM(K186:K188)</f>
        <v>0</v>
      </c>
    </row>
    <row r="190" spans="1:12" s="143" customFormat="1" ht="19.5" thickBot="1" x14ac:dyDescent="0.25">
      <c r="A190" s="112" t="str">
        <f>IF(F190&lt;&gt;"",1+MAX($A$1:A189),"")</f>
        <v/>
      </c>
      <c r="B190" s="122"/>
      <c r="C190" s="374"/>
      <c r="D190" s="145"/>
      <c r="E190" s="138"/>
      <c r="F190" s="139"/>
      <c r="G190" s="127"/>
      <c r="H190" s="140"/>
      <c r="I190" s="141"/>
      <c r="J190" s="134"/>
      <c r="K190" s="142"/>
      <c r="L190" s="132"/>
    </row>
    <row r="191" spans="1:12" s="1" customFormat="1" ht="16.5" thickBot="1" x14ac:dyDescent="0.25">
      <c r="A191" s="112" t="str">
        <f>IF(F191&lt;&gt;"",1+MAX($A$1:A190),"")</f>
        <v/>
      </c>
      <c r="B191" s="30"/>
      <c r="C191" s="375"/>
      <c r="D191" s="219"/>
      <c r="E191" s="220" t="s">
        <v>155</v>
      </c>
      <c r="F191" s="221"/>
      <c r="G191" s="222"/>
      <c r="H191" s="223"/>
      <c r="I191" s="224"/>
      <c r="J191" s="229"/>
      <c r="K191" s="230"/>
      <c r="L191" s="20"/>
    </row>
    <row r="192" spans="1:12" s="133" customFormat="1" ht="18.75" x14ac:dyDescent="0.2">
      <c r="A192" s="112">
        <f>IF(F192&lt;&gt;"",1+MAX($A$1:A191),"")</f>
        <v>82</v>
      </c>
      <c r="B192" s="2" t="s">
        <v>143</v>
      </c>
      <c r="C192" s="376"/>
      <c r="D192" s="124"/>
      <c r="E192" s="125" t="s">
        <v>156</v>
      </c>
      <c r="F192" s="126">
        <v>2.7</v>
      </c>
      <c r="G192" s="127">
        <v>7.0000000000000007E-2</v>
      </c>
      <c r="H192" s="128">
        <f t="shared" ref="H192" si="58">F192*(1+G192)</f>
        <v>2.8890000000000002</v>
      </c>
      <c r="I192" s="129" t="s">
        <v>15</v>
      </c>
      <c r="J192" s="130">
        <v>0</v>
      </c>
      <c r="K192" s="131">
        <f>J192*H192</f>
        <v>0</v>
      </c>
      <c r="L192" s="132"/>
    </row>
    <row r="193" spans="1:12" s="1" customFormat="1" ht="16.5" thickBot="1" x14ac:dyDescent="0.25">
      <c r="A193" s="112" t="str">
        <f>IF(F193&lt;&gt;"",1+MAX($A$1:A192),"")</f>
        <v/>
      </c>
      <c r="B193" s="43"/>
      <c r="C193" s="373"/>
      <c r="D193" s="39"/>
      <c r="E193" s="1" t="s">
        <v>121</v>
      </c>
      <c r="F193" s="44"/>
      <c r="G193" s="45"/>
      <c r="H193" s="44"/>
      <c r="I193" s="46"/>
      <c r="J193" s="73"/>
      <c r="K193" s="65"/>
      <c r="L193" s="56"/>
    </row>
    <row r="194" spans="1:12" s="1" customFormat="1" ht="16.5" thickBot="1" x14ac:dyDescent="0.25">
      <c r="A194" s="112" t="str">
        <f>IF(F194&lt;&gt;"",1+MAX($A$1:A193),"")</f>
        <v/>
      </c>
      <c r="B194" s="2"/>
      <c r="C194" s="373"/>
      <c r="D194" s="39"/>
      <c r="E194" s="53" t="s">
        <v>157</v>
      </c>
      <c r="F194" s="29"/>
      <c r="G194" s="24"/>
      <c r="H194" s="4"/>
      <c r="I194" s="25"/>
      <c r="J194" s="74"/>
      <c r="K194" s="68"/>
      <c r="L194" s="57">
        <f>SUM(K191:K193)</f>
        <v>0</v>
      </c>
    </row>
    <row r="195" spans="1:12" s="143" customFormat="1" ht="19.5" thickBot="1" x14ac:dyDescent="0.25">
      <c r="A195" s="112" t="str">
        <f>IF(F195&lt;&gt;"",1+MAX($A$1:A194),"")</f>
        <v/>
      </c>
      <c r="B195" s="122"/>
      <c r="C195" s="374"/>
      <c r="D195" s="145"/>
      <c r="E195" s="138"/>
      <c r="F195" s="139"/>
      <c r="G195" s="127"/>
      <c r="H195" s="140"/>
      <c r="I195" s="141"/>
      <c r="J195" s="134"/>
      <c r="K195" s="142"/>
      <c r="L195" s="132"/>
    </row>
    <row r="196" spans="1:12" s="1" customFormat="1" ht="16.5" thickBot="1" x14ac:dyDescent="0.25">
      <c r="A196" s="112" t="str">
        <f>IF(F196&lt;&gt;"",1+MAX($A$1:A195),"")</f>
        <v/>
      </c>
      <c r="B196" s="30"/>
      <c r="C196" s="375"/>
      <c r="D196" s="219"/>
      <c r="E196" s="220" t="s">
        <v>158</v>
      </c>
      <c r="F196" s="221"/>
      <c r="G196" s="222"/>
      <c r="H196" s="223"/>
      <c r="I196" s="224"/>
      <c r="J196" s="229"/>
      <c r="K196" s="230"/>
      <c r="L196" s="20"/>
    </row>
    <row r="197" spans="1:12" s="133" customFormat="1" ht="18.75" x14ac:dyDescent="0.2">
      <c r="A197" s="112">
        <f>IF(F197&lt;&gt;"",1+MAX($A$1:A196),"")</f>
        <v>83</v>
      </c>
      <c r="B197" s="2" t="s">
        <v>143</v>
      </c>
      <c r="C197" s="376"/>
      <c r="D197" s="124"/>
      <c r="E197" s="125" t="s">
        <v>159</v>
      </c>
      <c r="F197" s="126">
        <f>52.3*8+155.9*8.167</f>
        <v>1691.6352999999999</v>
      </c>
      <c r="G197" s="127">
        <v>7.0000000000000007E-2</v>
      </c>
      <c r="H197" s="128">
        <f t="shared" ref="H197:H198" si="59">F197*(1+G197)</f>
        <v>1810.049771</v>
      </c>
      <c r="I197" s="129" t="s">
        <v>18</v>
      </c>
      <c r="J197" s="130">
        <v>0</v>
      </c>
      <c r="K197" s="131">
        <f>J197*H197</f>
        <v>0</v>
      </c>
      <c r="L197" s="132"/>
    </row>
    <row r="198" spans="1:12" s="133" customFormat="1" ht="18.75" x14ac:dyDescent="0.2">
      <c r="A198" s="112">
        <f>IF(F198&lt;&gt;"",1+MAX($A$1:A197),"")</f>
        <v>84</v>
      </c>
      <c r="B198" s="2" t="s">
        <v>143</v>
      </c>
      <c r="C198" s="376"/>
      <c r="D198" s="124"/>
      <c r="E198" s="125" t="s">
        <v>160</v>
      </c>
      <c r="F198" s="126">
        <f>635.2</f>
        <v>635.20000000000005</v>
      </c>
      <c r="G198" s="127">
        <v>7.0000000000000007E-2</v>
      </c>
      <c r="H198" s="128">
        <f t="shared" si="59"/>
        <v>679.6640000000001</v>
      </c>
      <c r="I198" s="129" t="s">
        <v>18</v>
      </c>
      <c r="J198" s="130">
        <v>0</v>
      </c>
      <c r="K198" s="131">
        <f>J198*H198</f>
        <v>0</v>
      </c>
      <c r="L198" s="132"/>
    </row>
    <row r="199" spans="1:12" s="133" customFormat="1" ht="18.75" x14ac:dyDescent="0.2">
      <c r="A199" s="112">
        <f>IF(F199&lt;&gt;"",1+MAX($A$1:A198),"")</f>
        <v>85</v>
      </c>
      <c r="B199" s="2" t="s">
        <v>143</v>
      </c>
      <c r="C199" s="376"/>
      <c r="D199" s="124"/>
      <c r="E199" s="125" t="s">
        <v>161</v>
      </c>
      <c r="F199" s="126">
        <v>635.20000000000005</v>
      </c>
      <c r="G199" s="127">
        <v>7.0000000000000007E-2</v>
      </c>
      <c r="H199" s="128">
        <f t="shared" ref="H199" si="60">F199*(1+G199)</f>
        <v>679.6640000000001</v>
      </c>
      <c r="I199" s="129" t="s">
        <v>18</v>
      </c>
      <c r="J199" s="130">
        <v>0</v>
      </c>
      <c r="K199" s="131">
        <f>J199*H199</f>
        <v>0</v>
      </c>
      <c r="L199" s="132"/>
    </row>
    <row r="200" spans="1:12" s="1" customFormat="1" ht="16.5" thickBot="1" x14ac:dyDescent="0.25">
      <c r="A200" s="112" t="str">
        <f>IF(F200&lt;&gt;"",1+MAX($A$1:A199),"")</f>
        <v/>
      </c>
      <c r="B200" s="43"/>
      <c r="C200" s="373"/>
      <c r="D200" s="39"/>
      <c r="E200" s="1" t="s">
        <v>121</v>
      </c>
      <c r="F200" s="44"/>
      <c r="G200" s="45"/>
      <c r="H200" s="44"/>
      <c r="I200" s="46"/>
      <c r="J200" s="73"/>
      <c r="K200" s="65"/>
      <c r="L200" s="56"/>
    </row>
    <row r="201" spans="1:12" s="1" customFormat="1" ht="16.5" thickBot="1" x14ac:dyDescent="0.25">
      <c r="A201" s="112" t="str">
        <f>IF(F201&lt;&gt;"",1+MAX($A$1:A200),"")</f>
        <v/>
      </c>
      <c r="B201" s="2"/>
      <c r="C201" s="373"/>
      <c r="D201" s="39"/>
      <c r="E201" s="53" t="s">
        <v>227</v>
      </c>
      <c r="F201" s="29"/>
      <c r="G201" s="24"/>
      <c r="H201" s="4"/>
      <c r="I201" s="25"/>
      <c r="J201" s="74"/>
      <c r="K201" s="68"/>
      <c r="L201" s="57">
        <f>SUM(K196:K200)</f>
        <v>0</v>
      </c>
    </row>
    <row r="202" spans="1:12" s="143" customFormat="1" ht="19.5" thickBot="1" x14ac:dyDescent="0.25">
      <c r="A202" s="112" t="str">
        <f>IF(F202&lt;&gt;"",1+MAX($A$1:A201),"")</f>
        <v/>
      </c>
      <c r="B202" s="122"/>
      <c r="C202" s="374"/>
      <c r="D202" s="145"/>
      <c r="E202" s="138"/>
      <c r="F202" s="139"/>
      <c r="G202" s="127"/>
      <c r="H202" s="140"/>
      <c r="I202" s="141"/>
      <c r="J202" s="134"/>
      <c r="K202" s="142"/>
      <c r="L202" s="132"/>
    </row>
    <row r="203" spans="1:12" s="1" customFormat="1" ht="16.5" thickBot="1" x14ac:dyDescent="0.25">
      <c r="A203" s="112" t="str">
        <f>IF(F203&lt;&gt;"",1+MAX($A$1:A202),"")</f>
        <v/>
      </c>
      <c r="B203" s="30"/>
      <c r="C203" s="375"/>
      <c r="D203" s="219"/>
      <c r="E203" s="220" t="s">
        <v>46</v>
      </c>
      <c r="F203" s="221"/>
      <c r="G203" s="231"/>
      <c r="H203" s="223"/>
      <c r="I203" s="224"/>
      <c r="J203" s="225"/>
      <c r="K203" s="226"/>
      <c r="L203" s="20"/>
    </row>
    <row r="204" spans="1:12" s="1" customFormat="1" x14ac:dyDescent="0.2">
      <c r="A204" s="112" t="str">
        <f>IF(F204&lt;&gt;"",1+MAX($A$1:A203),"")</f>
        <v/>
      </c>
      <c r="B204" s="2"/>
      <c r="C204" s="373"/>
      <c r="D204" s="39"/>
      <c r="E204" s="196" t="s">
        <v>47</v>
      </c>
      <c r="F204" s="29"/>
      <c r="G204" s="24"/>
      <c r="H204" s="4"/>
      <c r="I204" s="25"/>
      <c r="J204" s="74"/>
      <c r="K204" s="64"/>
      <c r="L204" s="56"/>
    </row>
    <row r="205" spans="1:12" s="1" customFormat="1" x14ac:dyDescent="0.2">
      <c r="A205" s="112">
        <f>IF(F205&lt;&gt;"",1+MAX($A$1:A204),"")</f>
        <v>86</v>
      </c>
      <c r="B205" s="2" t="s">
        <v>143</v>
      </c>
      <c r="C205" s="374"/>
      <c r="D205" s="39"/>
      <c r="E205" s="48" t="s">
        <v>97</v>
      </c>
      <c r="F205" s="346">
        <f>4909-203</f>
        <v>4706</v>
      </c>
      <c r="G205" s="127">
        <v>7.0000000000000007E-2</v>
      </c>
      <c r="H205" s="197">
        <f t="shared" ref="H205" si="61">F205*(1+G205)</f>
        <v>5035.42</v>
      </c>
      <c r="I205" s="38" t="s">
        <v>18</v>
      </c>
      <c r="J205" s="130">
        <v>0</v>
      </c>
      <c r="K205" s="198">
        <f t="shared" ref="K205" si="62">J205*H205</f>
        <v>0</v>
      </c>
      <c r="L205" s="56"/>
    </row>
    <row r="206" spans="1:12" s="1" customFormat="1" x14ac:dyDescent="0.2">
      <c r="A206" s="112" t="str">
        <f>IF(F206&lt;&gt;"",1+MAX($A$1:A205),"")</f>
        <v/>
      </c>
      <c r="B206" s="2"/>
      <c r="C206" s="373"/>
      <c r="D206" s="39"/>
      <c r="E206" s="196" t="s">
        <v>48</v>
      </c>
      <c r="F206" s="29"/>
      <c r="G206" s="3"/>
      <c r="H206" s="197"/>
      <c r="I206" s="38"/>
      <c r="J206" s="199"/>
      <c r="K206" s="198"/>
      <c r="L206" s="56"/>
    </row>
    <row r="207" spans="1:12" s="1" customFormat="1" x14ac:dyDescent="0.2">
      <c r="A207" s="112">
        <f>IF(F207&lt;&gt;"",1+MAX($A$1:A206),"")</f>
        <v>87</v>
      </c>
      <c r="B207" s="2" t="s">
        <v>143</v>
      </c>
      <c r="C207" s="374"/>
      <c r="D207" s="39"/>
      <c r="E207" s="54" t="s">
        <v>93</v>
      </c>
      <c r="F207" s="139">
        <v>1348</v>
      </c>
      <c r="G207" s="127">
        <v>7.0000000000000007E-2</v>
      </c>
      <c r="H207" s="4">
        <f t="shared" ref="H207" si="63">F207*(1+G207)</f>
        <v>1442.3600000000001</v>
      </c>
      <c r="I207" s="25" t="s">
        <v>18</v>
      </c>
      <c r="J207" s="130">
        <v>0</v>
      </c>
      <c r="K207" s="64">
        <f t="shared" ref="K207" si="64">J207*H207</f>
        <v>0</v>
      </c>
      <c r="L207" s="56"/>
    </row>
    <row r="208" spans="1:12" s="1" customFormat="1" x14ac:dyDescent="0.2">
      <c r="A208" s="112" t="str">
        <f>IF(F208&lt;&gt;"",1+MAX($A$1:A207),"")</f>
        <v/>
      </c>
      <c r="B208" s="2"/>
      <c r="C208" s="373"/>
      <c r="D208" s="39"/>
      <c r="E208" s="196" t="s">
        <v>94</v>
      </c>
      <c r="F208" s="29"/>
      <c r="G208" s="3"/>
      <c r="H208" s="197"/>
      <c r="I208" s="38"/>
      <c r="J208" s="199"/>
      <c r="K208" s="198"/>
      <c r="L208" s="56"/>
    </row>
    <row r="209" spans="1:12" s="133" customFormat="1" ht="18.75" x14ac:dyDescent="0.2">
      <c r="A209" s="112">
        <f>IF(F209&lt;&gt;"",1+MAX($A$1:A208),"")</f>
        <v>88</v>
      </c>
      <c r="B209" s="2" t="s">
        <v>143</v>
      </c>
      <c r="C209" s="374"/>
      <c r="D209" s="124"/>
      <c r="E209" s="54" t="s">
        <v>95</v>
      </c>
      <c r="F209" s="126">
        <v>6</v>
      </c>
      <c r="G209" s="127">
        <v>0</v>
      </c>
      <c r="H209" s="128">
        <f>F209*(1+G209)</f>
        <v>6</v>
      </c>
      <c r="I209" s="129" t="s">
        <v>20</v>
      </c>
      <c r="J209" s="130">
        <v>0</v>
      </c>
      <c r="K209" s="64">
        <f>J209*H209</f>
        <v>0</v>
      </c>
      <c r="L209" s="132"/>
    </row>
    <row r="210" spans="1:12" s="133" customFormat="1" ht="18.75" x14ac:dyDescent="0.2">
      <c r="A210" s="112">
        <f>IF(F210&lt;&gt;"",1+MAX($A$1:A209),"")</f>
        <v>89</v>
      </c>
      <c r="B210" s="2" t="s">
        <v>143</v>
      </c>
      <c r="C210" s="374"/>
      <c r="D210" s="124"/>
      <c r="E210" s="54" t="s">
        <v>96</v>
      </c>
      <c r="F210" s="126">
        <v>5</v>
      </c>
      <c r="G210" s="127">
        <v>0</v>
      </c>
      <c r="H210" s="128">
        <f>F210*(1+G210)</f>
        <v>5</v>
      </c>
      <c r="I210" s="129" t="s">
        <v>20</v>
      </c>
      <c r="J210" s="130">
        <v>0</v>
      </c>
      <c r="K210" s="64">
        <f>J210*H210</f>
        <v>0</v>
      </c>
      <c r="L210" s="132"/>
    </row>
    <row r="211" spans="1:12" s="1" customFormat="1" ht="16.5" thickBot="1" x14ac:dyDescent="0.25">
      <c r="A211" s="112" t="str">
        <f>IF(F211&lt;&gt;"",1+MAX($A$1:A210),"")</f>
        <v/>
      </c>
      <c r="B211" s="2"/>
      <c r="C211" s="379"/>
      <c r="D211" s="39"/>
      <c r="F211" s="44"/>
      <c r="G211" s="45"/>
      <c r="H211" s="44"/>
      <c r="I211" s="46"/>
      <c r="J211" s="73"/>
      <c r="K211" s="65"/>
      <c r="L211" s="56"/>
    </row>
    <row r="212" spans="1:12" s="1" customFormat="1" ht="16.5" thickBot="1" x14ac:dyDescent="0.25">
      <c r="A212" s="112" t="str">
        <f>IF(F212&lt;&gt;"",1+MAX($A$1:A211),"")</f>
        <v/>
      </c>
      <c r="B212" s="2"/>
      <c r="C212" s="373"/>
      <c r="D212" s="39"/>
      <c r="E212" s="53" t="s">
        <v>49</v>
      </c>
      <c r="F212" s="29"/>
      <c r="G212" s="24"/>
      <c r="H212" s="4"/>
      <c r="I212" s="25"/>
      <c r="J212" s="74"/>
      <c r="K212" s="68"/>
      <c r="L212" s="57">
        <f>SUM(K204:K211)</f>
        <v>0</v>
      </c>
    </row>
    <row r="213" spans="1:12" s="1" customFormat="1" ht="16.5" thickBot="1" x14ac:dyDescent="0.25">
      <c r="A213" s="112" t="str">
        <f>IF(F213&lt;&gt;"",1+MAX($A$1:A212),"")</f>
        <v/>
      </c>
      <c r="B213" s="2"/>
      <c r="C213" s="373"/>
      <c r="D213" s="39"/>
      <c r="E213" s="54"/>
      <c r="F213" s="29"/>
      <c r="G213" s="24"/>
      <c r="H213" s="4"/>
      <c r="I213" s="25"/>
      <c r="J213" s="74"/>
      <c r="K213" s="68"/>
      <c r="L213" s="56"/>
    </row>
    <row r="214" spans="1:12" ht="16.5" thickBot="1" x14ac:dyDescent="0.25">
      <c r="A214" s="112" t="str">
        <f>IF(F214&lt;&gt;"",1+MAX($A$1:A213),"")</f>
        <v/>
      </c>
      <c r="B214" s="61"/>
      <c r="C214" s="380"/>
      <c r="D214" s="50" t="s">
        <v>23</v>
      </c>
      <c r="E214" s="51" t="s">
        <v>24</v>
      </c>
      <c r="F214" s="34"/>
      <c r="G214" s="35"/>
      <c r="H214" s="36"/>
      <c r="I214" s="37"/>
      <c r="J214" s="75"/>
      <c r="K214" s="80"/>
      <c r="L214" s="56"/>
    </row>
    <row r="215" spans="1:12" ht="16.5" thickBot="1" x14ac:dyDescent="0.25">
      <c r="A215" s="112" t="str">
        <f>IF(F215&lt;&gt;"",1+MAX($A$1:A214),"")</f>
        <v/>
      </c>
      <c r="B215" s="40"/>
      <c r="C215" s="381"/>
      <c r="D215" s="55"/>
      <c r="E215" s="52" t="s">
        <v>30</v>
      </c>
      <c r="F215" s="77"/>
      <c r="G215" s="41"/>
      <c r="H215" s="41"/>
      <c r="I215" s="41"/>
      <c r="J215" s="72"/>
      <c r="K215" s="67"/>
      <c r="L215" s="56"/>
    </row>
    <row r="216" spans="1:12" s="1" customFormat="1" x14ac:dyDescent="0.2">
      <c r="A216" s="112">
        <f>IF(F216&lt;&gt;"",1+MAX($A$1:A215),"")</f>
        <v>90</v>
      </c>
      <c r="B216" s="2" t="s">
        <v>143</v>
      </c>
      <c r="C216" s="376"/>
      <c r="D216" s="39"/>
      <c r="E216" s="48" t="s">
        <v>145</v>
      </c>
      <c r="F216" s="29">
        <v>1</v>
      </c>
      <c r="G216" s="3">
        <v>0</v>
      </c>
      <c r="H216" s="4">
        <f t="shared" ref="H216:H219" si="65">F216*(1+G216)</f>
        <v>1</v>
      </c>
      <c r="I216" s="25" t="s">
        <v>20</v>
      </c>
      <c r="J216" s="130">
        <v>0</v>
      </c>
      <c r="K216" s="64">
        <f t="shared" ref="K216:K219" si="66">J216*H216</f>
        <v>0</v>
      </c>
      <c r="L216" s="81"/>
    </row>
    <row r="217" spans="1:12" s="1" customFormat="1" x14ac:dyDescent="0.2">
      <c r="A217" s="112">
        <f>IF(F217&lt;&gt;"",1+MAX($A$1:A216),"")</f>
        <v>91</v>
      </c>
      <c r="B217" s="2" t="s">
        <v>143</v>
      </c>
      <c r="C217" s="376"/>
      <c r="D217" s="39"/>
      <c r="E217" s="48" t="s">
        <v>45</v>
      </c>
      <c r="F217" s="29">
        <v>1</v>
      </c>
      <c r="G217" s="3">
        <v>0</v>
      </c>
      <c r="H217" s="4">
        <f t="shared" si="65"/>
        <v>1</v>
      </c>
      <c r="I217" s="25" t="s">
        <v>20</v>
      </c>
      <c r="J217" s="130">
        <v>0</v>
      </c>
      <c r="K217" s="64">
        <f t="shared" si="66"/>
        <v>0</v>
      </c>
      <c r="L217" s="81"/>
    </row>
    <row r="218" spans="1:12" s="1" customFormat="1" x14ac:dyDescent="0.2">
      <c r="A218" s="112">
        <f>IF(F218&lt;&gt;"",1+MAX($A$1:A217),"")</f>
        <v>92</v>
      </c>
      <c r="B218" s="2" t="s">
        <v>143</v>
      </c>
      <c r="C218" s="376"/>
      <c r="D218" s="39"/>
      <c r="E218" s="48" t="s">
        <v>70</v>
      </c>
      <c r="F218" s="29">
        <v>1</v>
      </c>
      <c r="G218" s="3">
        <v>0</v>
      </c>
      <c r="H218" s="4">
        <f t="shared" si="65"/>
        <v>1</v>
      </c>
      <c r="I218" s="25" t="s">
        <v>20</v>
      </c>
      <c r="J218" s="130">
        <v>0</v>
      </c>
      <c r="K218" s="64">
        <f t="shared" si="66"/>
        <v>0</v>
      </c>
      <c r="L218" s="81"/>
    </row>
    <row r="219" spans="1:12" s="1" customFormat="1" x14ac:dyDescent="0.2">
      <c r="A219" s="112">
        <f>IF(F219&lt;&gt;"",1+MAX($A$1:A218),"")</f>
        <v>93</v>
      </c>
      <c r="B219" s="2" t="s">
        <v>143</v>
      </c>
      <c r="C219" s="376"/>
      <c r="D219" s="39"/>
      <c r="E219" s="48" t="s">
        <v>88</v>
      </c>
      <c r="F219" s="29">
        <v>1</v>
      </c>
      <c r="G219" s="3">
        <v>0</v>
      </c>
      <c r="H219" s="4">
        <f t="shared" si="65"/>
        <v>1</v>
      </c>
      <c r="I219" s="25" t="s">
        <v>20</v>
      </c>
      <c r="J219" s="130">
        <v>0</v>
      </c>
      <c r="K219" s="64">
        <f t="shared" si="66"/>
        <v>0</v>
      </c>
      <c r="L219" s="81"/>
    </row>
    <row r="220" spans="1:12" s="1" customFormat="1" x14ac:dyDescent="0.2">
      <c r="A220" s="112">
        <f>IF(F220&lt;&gt;"",1+MAX($A$1:A219),"")</f>
        <v>94</v>
      </c>
      <c r="B220" s="2" t="s">
        <v>143</v>
      </c>
      <c r="C220" s="376"/>
      <c r="D220" s="39"/>
      <c r="E220" s="48" t="s">
        <v>144</v>
      </c>
      <c r="F220" s="29">
        <v>1</v>
      </c>
      <c r="G220" s="3">
        <v>0</v>
      </c>
      <c r="H220" s="4">
        <f t="shared" ref="H220" si="67">F220*(1+G220)</f>
        <v>1</v>
      </c>
      <c r="I220" s="25" t="s">
        <v>20</v>
      </c>
      <c r="J220" s="130">
        <v>0</v>
      </c>
      <c r="K220" s="64">
        <f t="shared" ref="K220" si="68">J220*H220</f>
        <v>0</v>
      </c>
      <c r="L220" s="81"/>
    </row>
    <row r="221" spans="1:12" s="1" customFormat="1" x14ac:dyDescent="0.2">
      <c r="A221" s="112">
        <f>IF(F221&lt;&gt;"",1+MAX($A$1:A220),"")</f>
        <v>95</v>
      </c>
      <c r="B221" s="2" t="s">
        <v>143</v>
      </c>
      <c r="C221" s="376"/>
      <c r="D221" s="39"/>
      <c r="E221" s="48" t="s">
        <v>146</v>
      </c>
      <c r="F221" s="29">
        <v>1</v>
      </c>
      <c r="G221" s="3">
        <v>0</v>
      </c>
      <c r="H221" s="4">
        <f t="shared" ref="H221" si="69">F221*(1+G221)</f>
        <v>1</v>
      </c>
      <c r="I221" s="25" t="s">
        <v>20</v>
      </c>
      <c r="J221" s="130">
        <v>0</v>
      </c>
      <c r="K221" s="64">
        <f t="shared" ref="K221" si="70">J221*H221</f>
        <v>0</v>
      </c>
      <c r="L221" s="81"/>
    </row>
    <row r="222" spans="1:12" s="1" customFormat="1" ht="16.5" thickBot="1" x14ac:dyDescent="0.25">
      <c r="A222" s="112" t="str">
        <f>IF(F222&lt;&gt;"",1+MAX($A$1:A221),"")</f>
        <v/>
      </c>
      <c r="B222" s="2"/>
      <c r="C222" s="373"/>
      <c r="D222" s="39"/>
      <c r="E222" s="53"/>
      <c r="F222" s="44"/>
      <c r="G222" s="45"/>
      <c r="H222" s="44"/>
      <c r="I222" s="46"/>
      <c r="J222" s="73"/>
      <c r="K222" s="65"/>
      <c r="L222" s="56"/>
    </row>
    <row r="223" spans="1:12" s="1" customFormat="1" ht="16.5" thickBot="1" x14ac:dyDescent="0.25">
      <c r="A223" s="112" t="str">
        <f>IF(F223&lt;&gt;"",1+MAX($A$1:A222),"")</f>
        <v/>
      </c>
      <c r="B223" s="2"/>
      <c r="C223" s="373"/>
      <c r="D223" s="39"/>
      <c r="E223" s="53" t="s">
        <v>31</v>
      </c>
      <c r="F223" s="29"/>
      <c r="G223" s="24"/>
      <c r="H223" s="4"/>
      <c r="I223" s="25"/>
      <c r="J223" s="74"/>
      <c r="K223" s="68"/>
      <c r="L223" s="57">
        <f>SUM(K215:K222)</f>
        <v>0</v>
      </c>
    </row>
    <row r="224" spans="1:12" s="1" customFormat="1" ht="16.5" thickBot="1" x14ac:dyDescent="0.25">
      <c r="A224" s="112" t="str">
        <f>IF(F224&lt;&gt;"",1+MAX($A$1:A223),"")</f>
        <v/>
      </c>
      <c r="B224" s="2"/>
      <c r="C224" s="373"/>
      <c r="D224" s="58"/>
      <c r="E224" s="53"/>
      <c r="F224" s="29"/>
      <c r="G224" s="3"/>
      <c r="H224" s="4"/>
      <c r="I224" s="25"/>
      <c r="J224" s="74"/>
      <c r="K224" s="68"/>
      <c r="L224" s="56"/>
    </row>
    <row r="225" spans="1:12" ht="16.5" thickBot="1" x14ac:dyDescent="0.25">
      <c r="A225" s="112" t="str">
        <f>IF(F225&lt;&gt;"",1+MAX($A$1:A224),"")</f>
        <v/>
      </c>
      <c r="B225" s="61"/>
      <c r="C225" s="380"/>
      <c r="D225" s="50" t="s">
        <v>25</v>
      </c>
      <c r="E225" s="51" t="s">
        <v>26</v>
      </c>
      <c r="F225" s="34"/>
      <c r="G225" s="35"/>
      <c r="H225" s="36"/>
      <c r="I225" s="37"/>
      <c r="J225" s="75"/>
      <c r="K225" s="80"/>
      <c r="L225" s="56"/>
    </row>
    <row r="226" spans="1:12" ht="16.5" thickBot="1" x14ac:dyDescent="0.25">
      <c r="A226" s="112" t="str">
        <f>IF(F226&lt;&gt;"",1+MAX($A$1:A225),"")</f>
        <v/>
      </c>
      <c r="B226" s="40"/>
      <c r="C226" s="381"/>
      <c r="D226" s="55"/>
      <c r="E226" s="52" t="s">
        <v>162</v>
      </c>
      <c r="F226" s="77"/>
      <c r="G226" s="41"/>
      <c r="H226" s="41"/>
      <c r="I226" s="41"/>
      <c r="J226" s="72"/>
      <c r="K226" s="67"/>
      <c r="L226" s="56"/>
    </row>
    <row r="227" spans="1:12" s="1" customFormat="1" x14ac:dyDescent="0.2">
      <c r="A227" s="112" t="str">
        <f>IF(F227&lt;&gt;"",1+MAX($A$1:A226),"")</f>
        <v/>
      </c>
      <c r="B227" s="2"/>
      <c r="C227" s="373"/>
      <c r="D227" s="39"/>
      <c r="E227" s="196" t="s">
        <v>41</v>
      </c>
      <c r="F227" s="29"/>
      <c r="G227" s="24"/>
      <c r="H227" s="4"/>
      <c r="I227" s="25"/>
      <c r="J227" s="74"/>
      <c r="K227" s="64"/>
      <c r="L227" s="56"/>
    </row>
    <row r="228" spans="1:12" s="1" customFormat="1" ht="31.5" x14ac:dyDescent="0.2">
      <c r="A228" s="112">
        <f>IF(F228&lt;&gt;"",1+MAX($A$1:A227),"")</f>
        <v>96</v>
      </c>
      <c r="B228" s="2" t="s">
        <v>143</v>
      </c>
      <c r="C228" s="373"/>
      <c r="D228" s="39"/>
      <c r="E228" s="54" t="s">
        <v>131</v>
      </c>
      <c r="F228" s="17">
        <f>27.3+4.5*0.334</f>
        <v>28.803000000000001</v>
      </c>
      <c r="G228" s="127">
        <v>7.0000000000000007E-2</v>
      </c>
      <c r="H228" s="4">
        <f t="shared" ref="H228" si="71">F228*(1+G228)</f>
        <v>30.819210000000002</v>
      </c>
      <c r="I228" s="25" t="s">
        <v>18</v>
      </c>
      <c r="J228" s="130">
        <v>0</v>
      </c>
      <c r="K228" s="64">
        <f t="shared" ref="K228" si="72">J228*H228</f>
        <v>0</v>
      </c>
      <c r="L228" s="81"/>
    </row>
    <row r="229" spans="1:12" s="1" customFormat="1" x14ac:dyDescent="0.2">
      <c r="A229" s="112" t="str">
        <f>IF(F229&lt;&gt;"",1+MAX($A$1:A228),"")</f>
        <v/>
      </c>
      <c r="B229" s="43"/>
      <c r="C229" s="373"/>
      <c r="D229" s="39"/>
      <c r="E229" s="54"/>
      <c r="F229" s="17"/>
      <c r="G229" s="3"/>
      <c r="H229" s="4"/>
      <c r="I229" s="25"/>
      <c r="J229" s="86"/>
      <c r="K229" s="64"/>
      <c r="L229" s="81"/>
    </row>
    <row r="230" spans="1:12" s="1" customFormat="1" x14ac:dyDescent="0.2">
      <c r="A230" s="112" t="str">
        <f>IF(F230&lt;&gt;"",1+MAX($A$1:A229),"")</f>
        <v/>
      </c>
      <c r="B230" s="2"/>
      <c r="C230" s="373"/>
      <c r="D230" s="39"/>
      <c r="E230" s="196" t="s">
        <v>176</v>
      </c>
      <c r="F230" s="29"/>
      <c r="G230" s="24"/>
      <c r="H230" s="4"/>
      <c r="I230" s="25"/>
      <c r="J230" s="74"/>
      <c r="K230" s="64"/>
      <c r="L230" s="56"/>
    </row>
    <row r="231" spans="1:12" s="1" customFormat="1" x14ac:dyDescent="0.2">
      <c r="A231" s="112">
        <f>IF(F231&lt;&gt;"",1+MAX($A$1:A230),"")</f>
        <v>97</v>
      </c>
      <c r="B231" s="2" t="s">
        <v>143</v>
      </c>
      <c r="C231" s="376"/>
      <c r="D231" s="39"/>
      <c r="E231" s="54" t="s">
        <v>166</v>
      </c>
      <c r="F231" s="17">
        <f>9.2</f>
        <v>9.1999999999999993</v>
      </c>
      <c r="G231" s="127">
        <v>7.0000000000000007E-2</v>
      </c>
      <c r="H231" s="4">
        <f t="shared" ref="H231:H235" si="73">F231*(1+G231)</f>
        <v>9.8439999999999994</v>
      </c>
      <c r="I231" s="25" t="s">
        <v>15</v>
      </c>
      <c r="J231" s="130">
        <v>0</v>
      </c>
      <c r="K231" s="64">
        <f t="shared" ref="K231:K235" si="74">J231*H231</f>
        <v>0</v>
      </c>
      <c r="L231" s="81"/>
    </row>
    <row r="232" spans="1:12" s="1" customFormat="1" x14ac:dyDescent="0.2">
      <c r="A232" s="112">
        <f>IF(F232&lt;&gt;"",1+MAX($A$1:A231),"")</f>
        <v>98</v>
      </c>
      <c r="B232" s="2" t="s">
        <v>143</v>
      </c>
      <c r="C232" s="376"/>
      <c r="D232" s="39"/>
      <c r="E232" s="54" t="s">
        <v>167</v>
      </c>
      <c r="F232" s="17">
        <f>1.4</f>
        <v>1.4</v>
      </c>
      <c r="G232" s="127">
        <v>7.0000000000000007E-2</v>
      </c>
      <c r="H232" s="4">
        <f t="shared" si="73"/>
        <v>1.498</v>
      </c>
      <c r="I232" s="25" t="s">
        <v>15</v>
      </c>
      <c r="J232" s="130">
        <v>0</v>
      </c>
      <c r="K232" s="64">
        <f t="shared" si="74"/>
        <v>0</v>
      </c>
      <c r="L232" s="81"/>
    </row>
    <row r="233" spans="1:12" s="1" customFormat="1" x14ac:dyDescent="0.2">
      <c r="A233" s="112">
        <f>IF(F233&lt;&gt;"",1+MAX($A$1:A232),"")</f>
        <v>99</v>
      </c>
      <c r="B233" s="2" t="s">
        <v>143</v>
      </c>
      <c r="C233" s="376"/>
      <c r="D233" s="39"/>
      <c r="E233" s="54" t="s">
        <v>92</v>
      </c>
      <c r="F233" s="17">
        <f>6.2</f>
        <v>6.2</v>
      </c>
      <c r="G233" s="127">
        <v>7.0000000000000007E-2</v>
      </c>
      <c r="H233" s="4">
        <f t="shared" ref="H233" si="75">F233*(1+G233)</f>
        <v>6.6340000000000003</v>
      </c>
      <c r="I233" s="25" t="s">
        <v>15</v>
      </c>
      <c r="J233" s="130">
        <v>0</v>
      </c>
      <c r="K233" s="64">
        <f t="shared" ref="K233" si="76">J233*H233</f>
        <v>0</v>
      </c>
      <c r="L233" s="81"/>
    </row>
    <row r="234" spans="1:12" s="1" customFormat="1" x14ac:dyDescent="0.2">
      <c r="A234" s="112">
        <f>IF(F234&lt;&gt;"",1+MAX($A$1:A233),"")</f>
        <v>100</v>
      </c>
      <c r="B234" s="2" t="s">
        <v>143</v>
      </c>
      <c r="C234" s="376"/>
      <c r="D234" s="39"/>
      <c r="E234" s="54" t="s">
        <v>169</v>
      </c>
      <c r="F234" s="17">
        <f>3.2</f>
        <v>3.2</v>
      </c>
      <c r="G234" s="127">
        <v>7.0000000000000007E-2</v>
      </c>
      <c r="H234" s="4">
        <f t="shared" si="73"/>
        <v>3.4240000000000004</v>
      </c>
      <c r="I234" s="25" t="s">
        <v>15</v>
      </c>
      <c r="J234" s="130">
        <v>0</v>
      </c>
      <c r="K234" s="64">
        <f t="shared" si="74"/>
        <v>0</v>
      </c>
      <c r="L234" s="81"/>
    </row>
    <row r="235" spans="1:12" s="1" customFormat="1" x14ac:dyDescent="0.2">
      <c r="A235" s="112">
        <f>IF(F235&lt;&gt;"",1+MAX($A$1:A234),"")</f>
        <v>101</v>
      </c>
      <c r="B235" s="2" t="s">
        <v>143</v>
      </c>
      <c r="C235" s="373"/>
      <c r="D235" s="39"/>
      <c r="E235" s="54" t="s">
        <v>170</v>
      </c>
      <c r="F235" s="17">
        <v>5</v>
      </c>
      <c r="G235" s="127">
        <v>7.0000000000000007E-2</v>
      </c>
      <c r="H235" s="4">
        <f t="shared" si="73"/>
        <v>5.3500000000000005</v>
      </c>
      <c r="I235" s="25" t="s">
        <v>15</v>
      </c>
      <c r="J235" s="130">
        <v>0</v>
      </c>
      <c r="K235" s="64">
        <f t="shared" si="74"/>
        <v>0</v>
      </c>
      <c r="L235" s="81"/>
    </row>
    <row r="236" spans="1:12" s="1" customFormat="1" x14ac:dyDescent="0.2">
      <c r="A236" s="112" t="str">
        <f>IF(F236&lt;&gt;"",1+MAX($A$1:A235),"")</f>
        <v/>
      </c>
      <c r="B236" s="43"/>
      <c r="C236" s="373"/>
      <c r="D236" s="39"/>
      <c r="E236" s="54"/>
      <c r="F236" s="17"/>
      <c r="G236" s="3"/>
      <c r="H236" s="4"/>
      <c r="I236" s="25"/>
      <c r="J236" s="86"/>
      <c r="K236" s="64"/>
      <c r="L236" s="81"/>
    </row>
    <row r="237" spans="1:12" s="1" customFormat="1" x14ac:dyDescent="0.2">
      <c r="A237" s="112" t="str">
        <f>IF(F237&lt;&gt;"",1+MAX($A$1:A236),"")</f>
        <v/>
      </c>
      <c r="B237" s="2"/>
      <c r="C237" s="373"/>
      <c r="D237" s="39"/>
      <c r="E237" s="196" t="s">
        <v>69</v>
      </c>
      <c r="F237" s="29"/>
      <c r="G237" s="24"/>
      <c r="H237" s="4"/>
      <c r="I237" s="25"/>
      <c r="J237" s="74"/>
      <c r="K237" s="64"/>
      <c r="L237" s="56"/>
    </row>
    <row r="238" spans="1:12" s="1" customFormat="1" ht="31.5" x14ac:dyDescent="0.2">
      <c r="A238" s="112">
        <f>IF(F238&lt;&gt;"",1+MAX($A$1:A237),"")</f>
        <v>102</v>
      </c>
      <c r="B238" s="2" t="s">
        <v>143</v>
      </c>
      <c r="C238" s="373"/>
      <c r="D238" s="39"/>
      <c r="E238" s="54" t="s">
        <v>132</v>
      </c>
      <c r="F238" s="17">
        <f>8</f>
        <v>8</v>
      </c>
      <c r="G238" s="127">
        <v>7.0000000000000007E-2</v>
      </c>
      <c r="H238" s="4">
        <f t="shared" ref="H238" si="77">F238*(1+G238)</f>
        <v>8.56</v>
      </c>
      <c r="I238" s="25" t="s">
        <v>15</v>
      </c>
      <c r="J238" s="130">
        <v>0</v>
      </c>
      <c r="K238" s="64">
        <f t="shared" ref="K238" si="78">J238*H238</f>
        <v>0</v>
      </c>
      <c r="L238" s="81"/>
    </row>
    <row r="239" spans="1:12" s="1" customFormat="1" x14ac:dyDescent="0.2">
      <c r="A239" s="112">
        <f>IF(F239&lt;&gt;"",1+MAX($A$1:A238),"")</f>
        <v>103</v>
      </c>
      <c r="B239" s="2" t="s">
        <v>143</v>
      </c>
      <c r="C239" s="376"/>
      <c r="D239" s="39"/>
      <c r="E239" s="54" t="s">
        <v>168</v>
      </c>
      <c r="F239" s="17">
        <f>9.2*3</f>
        <v>27.599999999999998</v>
      </c>
      <c r="G239" s="127">
        <v>7.0000000000000007E-2</v>
      </c>
      <c r="H239" s="4">
        <f t="shared" ref="H239" si="79">F239*(1+G239)</f>
        <v>29.532</v>
      </c>
      <c r="I239" s="25" t="s">
        <v>15</v>
      </c>
      <c r="J239" s="130">
        <v>0</v>
      </c>
      <c r="K239" s="64">
        <f t="shared" ref="K239" si="80">J239*H239</f>
        <v>0</v>
      </c>
      <c r="L239" s="81"/>
    </row>
    <row r="240" spans="1:12" s="1" customFormat="1" ht="16.5" thickBot="1" x14ac:dyDescent="0.25">
      <c r="A240" s="112" t="str">
        <f>IF(F240&lt;&gt;"",1+MAX($A$1:A239),"")</f>
        <v/>
      </c>
      <c r="B240" s="2"/>
      <c r="C240" s="379"/>
      <c r="D240" s="39"/>
      <c r="F240" s="44"/>
      <c r="G240" s="45"/>
      <c r="H240" s="44"/>
      <c r="I240" s="46"/>
      <c r="J240" s="73"/>
      <c r="K240" s="65"/>
      <c r="L240" s="82"/>
    </row>
    <row r="241" spans="1:12" s="1" customFormat="1" ht="16.5" thickBot="1" x14ac:dyDescent="0.25">
      <c r="A241" s="112" t="str">
        <f>IF(F241&lt;&gt;"",1+MAX($A$1:A240),"")</f>
        <v/>
      </c>
      <c r="B241" s="2"/>
      <c r="C241" s="373"/>
      <c r="D241" s="39"/>
      <c r="E241" s="53" t="s">
        <v>28</v>
      </c>
      <c r="F241" s="29"/>
      <c r="G241" s="24"/>
      <c r="H241" s="4"/>
      <c r="I241" s="25"/>
      <c r="J241" s="74"/>
      <c r="K241" s="68"/>
      <c r="L241" s="47">
        <f>SUM(K226:K240)</f>
        <v>0</v>
      </c>
    </row>
    <row r="242" spans="1:12" s="1" customFormat="1" ht="16.5" thickBot="1" x14ac:dyDescent="0.25">
      <c r="A242" s="112" t="str">
        <f>IF(F242&lt;&gt;"",1+MAX($A$1:A241),"")</f>
        <v/>
      </c>
      <c r="B242" s="2"/>
      <c r="C242" s="373"/>
      <c r="D242" s="58"/>
      <c r="E242" s="53"/>
      <c r="F242" s="29"/>
      <c r="G242" s="3"/>
      <c r="H242" s="4"/>
      <c r="I242" s="25"/>
      <c r="J242" s="74"/>
      <c r="K242" s="68"/>
      <c r="L242" s="66"/>
    </row>
    <row r="243" spans="1:12" ht="16.5" thickBot="1" x14ac:dyDescent="0.25">
      <c r="A243" s="112" t="str">
        <f>IF(F243&lt;&gt;"",1+MAX($A$1:A242),"")</f>
        <v/>
      </c>
      <c r="B243" s="40"/>
      <c r="C243" s="42"/>
      <c r="D243" s="55"/>
      <c r="E243" s="52" t="s">
        <v>163</v>
      </c>
      <c r="F243" s="372"/>
      <c r="G243" s="41"/>
      <c r="H243" s="41"/>
      <c r="I243" s="41"/>
      <c r="J243" s="72"/>
      <c r="K243" s="67"/>
      <c r="L243" s="56"/>
    </row>
    <row r="244" spans="1:12" s="1" customFormat="1" x14ac:dyDescent="0.2">
      <c r="A244" s="112">
        <f>IF(F244&lt;&gt;"",1+MAX($A$1:A243),"")</f>
        <v>104</v>
      </c>
      <c r="B244" s="2" t="s">
        <v>143</v>
      </c>
      <c r="C244" s="2"/>
      <c r="D244" s="39"/>
      <c r="E244" s="54" t="s">
        <v>164</v>
      </c>
      <c r="F244" s="17">
        <v>2</v>
      </c>
      <c r="G244" s="3">
        <v>0</v>
      </c>
      <c r="H244" s="4">
        <f t="shared" ref="H244" si="81">F244*(1+G244)</f>
        <v>2</v>
      </c>
      <c r="I244" s="25" t="s">
        <v>20</v>
      </c>
      <c r="J244" s="87">
        <v>0</v>
      </c>
      <c r="K244" s="64">
        <f t="shared" ref="K244" si="82">J244*H244</f>
        <v>0</v>
      </c>
      <c r="L244" s="81"/>
    </row>
    <row r="245" spans="1:12" s="1" customFormat="1" ht="16.5" thickBot="1" x14ac:dyDescent="0.25">
      <c r="A245" s="112" t="str">
        <f>IF(F245&lt;&gt;"",1+MAX($A$1:A244),"")</f>
        <v/>
      </c>
      <c r="B245" s="2"/>
      <c r="C245" s="30"/>
      <c r="D245" s="39"/>
      <c r="F245" s="44"/>
      <c r="G245" s="45"/>
      <c r="H245" s="44"/>
      <c r="I245" s="46"/>
      <c r="J245" s="73"/>
      <c r="K245" s="65"/>
      <c r="L245" s="82"/>
    </row>
    <row r="246" spans="1:12" s="1" customFormat="1" ht="16.5" thickBot="1" x14ac:dyDescent="0.25">
      <c r="A246" s="112" t="str">
        <f>IF(F246&lt;&gt;"",1+MAX($A$1:A245),"")</f>
        <v/>
      </c>
      <c r="B246" s="2"/>
      <c r="C246" s="2"/>
      <c r="D246" s="39"/>
      <c r="E246" s="53" t="s">
        <v>165</v>
      </c>
      <c r="F246" s="29"/>
      <c r="G246" s="24"/>
      <c r="H246" s="4"/>
      <c r="I246" s="25"/>
      <c r="J246" s="74"/>
      <c r="K246" s="68"/>
      <c r="L246" s="47">
        <f>SUM(K244:K245)</f>
        <v>0</v>
      </c>
    </row>
    <row r="247" spans="1:12" s="1" customFormat="1" ht="16.5" thickBot="1" x14ac:dyDescent="0.25">
      <c r="A247" s="112" t="str">
        <f>IF(F247&lt;&gt;"",1+MAX($A$1:A246),"")</f>
        <v/>
      </c>
      <c r="B247" s="2"/>
      <c r="C247" s="2"/>
      <c r="D247" s="58"/>
      <c r="E247" s="53"/>
      <c r="F247" s="29"/>
      <c r="G247" s="3"/>
      <c r="H247" s="4"/>
      <c r="I247" s="25"/>
      <c r="J247" s="74"/>
      <c r="K247" s="68"/>
      <c r="L247" s="66"/>
    </row>
    <row r="248" spans="1:12" ht="16.5" thickBot="1" x14ac:dyDescent="0.25">
      <c r="A248" s="112" t="str">
        <f>IF(F248&lt;&gt;"",1+MAX($A$1:A247),"")</f>
        <v/>
      </c>
      <c r="B248" s="61"/>
      <c r="C248" s="33"/>
      <c r="D248" s="50" t="s">
        <v>35</v>
      </c>
      <c r="E248" s="51" t="s">
        <v>36</v>
      </c>
      <c r="F248" s="34"/>
      <c r="G248" s="35"/>
      <c r="H248" s="36"/>
      <c r="I248" s="37"/>
      <c r="J248" s="75"/>
      <c r="K248" s="80"/>
      <c r="L248" s="56"/>
    </row>
    <row r="249" spans="1:12" s="184" customFormat="1" ht="16.5" thickBot="1" x14ac:dyDescent="0.25">
      <c r="A249" s="112" t="str">
        <f>IF(F249&lt;&gt;"",1+MAX($A$1:A248),"")</f>
        <v/>
      </c>
      <c r="B249" s="312"/>
      <c r="C249" s="219"/>
      <c r="D249" s="313"/>
      <c r="E249" s="313" t="s">
        <v>37</v>
      </c>
      <c r="F249" s="314"/>
      <c r="G249" s="315"/>
      <c r="H249" s="318"/>
      <c r="I249" s="319"/>
      <c r="J249" s="321"/>
      <c r="K249" s="322"/>
      <c r="L249" s="205"/>
    </row>
    <row r="250" spans="1:12" s="1" customFormat="1" x14ac:dyDescent="0.2">
      <c r="A250" s="112">
        <f>IF(F250&lt;&gt;"",1+MAX($A$1:A249),"")</f>
        <v>105</v>
      </c>
      <c r="B250" s="2" t="s">
        <v>143</v>
      </c>
      <c r="C250" s="2"/>
      <c r="D250" s="39"/>
      <c r="E250" s="48" t="s">
        <v>71</v>
      </c>
      <c r="F250" s="29">
        <v>1</v>
      </c>
      <c r="G250" s="3">
        <v>0</v>
      </c>
      <c r="H250" s="4">
        <f t="shared" ref="H250" si="83">F250*(1+G250)</f>
        <v>1</v>
      </c>
      <c r="I250" s="25" t="s">
        <v>20</v>
      </c>
      <c r="J250" s="130">
        <v>0</v>
      </c>
      <c r="K250" s="64">
        <f t="shared" ref="K250:K255" si="84">J250*H250</f>
        <v>0</v>
      </c>
      <c r="L250" s="81"/>
    </row>
    <row r="251" spans="1:12" s="1" customFormat="1" x14ac:dyDescent="0.2">
      <c r="A251" s="112">
        <f>IF(F251&lt;&gt;"",1+MAX($A$1:A250),"")</f>
        <v>106</v>
      </c>
      <c r="B251" s="2" t="s">
        <v>143</v>
      </c>
      <c r="C251" s="2"/>
      <c r="D251" s="39"/>
      <c r="E251" s="48" t="s">
        <v>171</v>
      </c>
      <c r="F251" s="29">
        <v>1</v>
      </c>
      <c r="G251" s="3">
        <v>0</v>
      </c>
      <c r="H251" s="4">
        <f t="shared" ref="H251" si="85">F251*(1+G251)</f>
        <v>1</v>
      </c>
      <c r="I251" s="25" t="s">
        <v>20</v>
      </c>
      <c r="J251" s="130">
        <v>0</v>
      </c>
      <c r="K251" s="64">
        <f t="shared" si="84"/>
        <v>0</v>
      </c>
      <c r="L251" s="81"/>
    </row>
    <row r="252" spans="1:12" s="1" customFormat="1" x14ac:dyDescent="0.2">
      <c r="A252" s="112">
        <f>IF(F252&lt;&gt;"",1+MAX($A$1:A251),"")</f>
        <v>107</v>
      </c>
      <c r="B252" s="2" t="s">
        <v>143</v>
      </c>
      <c r="C252" s="2"/>
      <c r="D252" s="39"/>
      <c r="E252" s="48" t="s">
        <v>72</v>
      </c>
      <c r="F252" s="29">
        <v>1</v>
      </c>
      <c r="G252" s="3">
        <v>0</v>
      </c>
      <c r="H252" s="4">
        <f t="shared" ref="H252" si="86">F252*(1+G252)</f>
        <v>1</v>
      </c>
      <c r="I252" s="25" t="s">
        <v>20</v>
      </c>
      <c r="J252" s="130">
        <v>0</v>
      </c>
      <c r="K252" s="64">
        <f t="shared" si="84"/>
        <v>0</v>
      </c>
      <c r="L252" s="81"/>
    </row>
    <row r="253" spans="1:12" s="1" customFormat="1" ht="31.5" x14ac:dyDescent="0.2">
      <c r="A253" s="112">
        <f>IF(F253&lt;&gt;"",1+MAX($A$1:A252),"")</f>
        <v>108</v>
      </c>
      <c r="B253" s="2" t="s">
        <v>143</v>
      </c>
      <c r="C253" s="2"/>
      <c r="D253" s="39"/>
      <c r="E253" s="48" t="s">
        <v>172</v>
      </c>
      <c r="F253" s="29">
        <v>1</v>
      </c>
      <c r="G253" s="3">
        <v>0</v>
      </c>
      <c r="H253" s="4">
        <f t="shared" ref="H253" si="87">F253*(1+G253)</f>
        <v>1</v>
      </c>
      <c r="I253" s="25" t="s">
        <v>20</v>
      </c>
      <c r="J253" s="130">
        <v>0</v>
      </c>
      <c r="K253" s="64">
        <f t="shared" si="84"/>
        <v>0</v>
      </c>
      <c r="L253" s="81"/>
    </row>
    <row r="254" spans="1:12" s="1" customFormat="1" x14ac:dyDescent="0.2">
      <c r="A254" s="112">
        <f>IF(F254&lt;&gt;"",1+MAX($A$1:A253),"")</f>
        <v>109</v>
      </c>
      <c r="B254" s="2" t="s">
        <v>143</v>
      </c>
      <c r="C254" s="2"/>
      <c r="D254" s="39"/>
      <c r="E254" s="48" t="s">
        <v>173</v>
      </c>
      <c r="F254" s="29">
        <v>1</v>
      </c>
      <c r="G254" s="3">
        <v>0</v>
      </c>
      <c r="H254" s="4">
        <f t="shared" ref="H254" si="88">F254*(1+G254)</f>
        <v>1</v>
      </c>
      <c r="I254" s="25" t="s">
        <v>20</v>
      </c>
      <c r="J254" s="87">
        <v>0</v>
      </c>
      <c r="K254" s="64">
        <f t="shared" si="84"/>
        <v>0</v>
      </c>
      <c r="L254" s="81"/>
    </row>
    <row r="255" spans="1:12" s="1" customFormat="1" x14ac:dyDescent="0.2">
      <c r="A255" s="112">
        <f>IF(F255&lt;&gt;"",1+MAX($A$1:A254),"")</f>
        <v>110</v>
      </c>
      <c r="B255" s="2" t="s">
        <v>143</v>
      </c>
      <c r="C255" s="2"/>
      <c r="D255" s="39"/>
      <c r="E255" s="48" t="s">
        <v>174</v>
      </c>
      <c r="F255" s="29">
        <v>1</v>
      </c>
      <c r="G255" s="3">
        <v>0</v>
      </c>
      <c r="H255" s="4">
        <f t="shared" ref="H255" si="89">F255*(1+G255)</f>
        <v>1</v>
      </c>
      <c r="I255" s="25" t="s">
        <v>20</v>
      </c>
      <c r="J255" s="87">
        <v>0</v>
      </c>
      <c r="K255" s="64">
        <f t="shared" si="84"/>
        <v>0</v>
      </c>
      <c r="L255" s="81"/>
    </row>
    <row r="256" spans="1:12" s="1" customFormat="1" ht="63.75" thickBot="1" x14ac:dyDescent="0.25">
      <c r="A256" s="112" t="str">
        <f>IF(F256&lt;&gt;"",1+MAX($A$1:A255),"")</f>
        <v/>
      </c>
      <c r="B256" s="2"/>
      <c r="C256" s="148"/>
      <c r="D256" s="39"/>
      <c r="E256" s="382" t="s">
        <v>175</v>
      </c>
      <c r="F256" s="17"/>
      <c r="G256" s="3"/>
      <c r="H256" s="4"/>
      <c r="I256" s="25"/>
      <c r="J256" s="323"/>
      <c r="K256" s="79"/>
      <c r="L256" s="81"/>
    </row>
    <row r="257" spans="1:14" s="1" customFormat="1" ht="16.5" thickBot="1" x14ac:dyDescent="0.25">
      <c r="A257" s="112" t="str">
        <f>IF(F257&lt;&gt;"",1+MAX($A$1:A256),"")</f>
        <v/>
      </c>
      <c r="B257" s="43"/>
      <c r="C257" s="2"/>
      <c r="D257" s="83"/>
      <c r="E257" s="85" t="s">
        <v>42</v>
      </c>
      <c r="F257" s="84"/>
      <c r="G257" s="41"/>
      <c r="H257" s="41"/>
      <c r="I257" s="41"/>
      <c r="J257" s="323"/>
      <c r="K257" s="324"/>
      <c r="L257" s="81"/>
    </row>
    <row r="258" spans="1:14" s="1" customFormat="1" ht="47.25" x14ac:dyDescent="0.2">
      <c r="A258" s="112">
        <f>IF(F258&lt;&gt;"",1+MAX($A$1:A257),"")</f>
        <v>111</v>
      </c>
      <c r="B258" s="2"/>
      <c r="C258" s="2"/>
      <c r="D258" s="39"/>
      <c r="E258" s="54" t="s">
        <v>123</v>
      </c>
      <c r="F258" s="17">
        <v>1</v>
      </c>
      <c r="G258" s="59">
        <v>0</v>
      </c>
      <c r="H258" s="4">
        <f t="shared" ref="H258" si="90">F258*(1+G258)</f>
        <v>1</v>
      </c>
      <c r="I258" s="25" t="s">
        <v>27</v>
      </c>
      <c r="J258" s="130">
        <v>0</v>
      </c>
      <c r="K258" s="64">
        <f t="shared" ref="K258" si="91">J258*H258</f>
        <v>0</v>
      </c>
      <c r="L258" s="81"/>
      <c r="N258" s="357"/>
    </row>
    <row r="259" spans="1:14" s="1" customFormat="1" ht="16.5" thickBot="1" x14ac:dyDescent="0.25">
      <c r="A259" s="112" t="str">
        <f>IF(F259&lt;&gt;"",1+MAX($A$1:A258),"")</f>
        <v/>
      </c>
      <c r="B259" s="2"/>
      <c r="C259" s="30"/>
      <c r="D259" s="39"/>
      <c r="F259" s="44"/>
      <c r="G259" s="45"/>
      <c r="H259" s="44"/>
      <c r="I259" s="46"/>
      <c r="J259" s="73"/>
      <c r="K259" s="65"/>
      <c r="L259" s="82"/>
    </row>
    <row r="260" spans="1:14" s="1" customFormat="1" ht="16.5" thickBot="1" x14ac:dyDescent="0.25">
      <c r="A260" s="112" t="str">
        <f>IF(F260&lt;&gt;"",1+MAX($A$1:A259),"")</f>
        <v/>
      </c>
      <c r="B260" s="2"/>
      <c r="C260" s="2"/>
      <c r="D260" s="39"/>
      <c r="E260" s="53" t="s">
        <v>44</v>
      </c>
      <c r="F260" s="29"/>
      <c r="G260" s="24"/>
      <c r="H260" s="4"/>
      <c r="I260" s="25"/>
      <c r="J260" s="74"/>
      <c r="K260" s="68"/>
      <c r="L260" s="47">
        <f>SUM(K249:K259)</f>
        <v>0</v>
      </c>
    </row>
    <row r="261" spans="1:14" s="1" customFormat="1" ht="16.5" thickBot="1" x14ac:dyDescent="0.25">
      <c r="A261" s="112" t="str">
        <f>IF(F261&lt;&gt;"",1+MAX($A$1:A260),"")</f>
        <v/>
      </c>
      <c r="B261" s="2"/>
      <c r="C261" s="2"/>
      <c r="D261" s="58"/>
      <c r="E261" s="53"/>
      <c r="F261" s="29"/>
      <c r="G261" s="3"/>
      <c r="H261" s="4"/>
      <c r="I261" s="25"/>
      <c r="J261" s="74"/>
      <c r="K261" s="68"/>
      <c r="L261" s="66"/>
    </row>
    <row r="262" spans="1:14" ht="16.5" thickBot="1" x14ac:dyDescent="0.25">
      <c r="A262" s="112" t="str">
        <f>IF(F262&lt;&gt;"",1+MAX($A$1:A261),"")</f>
        <v/>
      </c>
      <c r="B262" s="61"/>
      <c r="C262" s="33"/>
      <c r="D262" s="50"/>
      <c r="E262" s="51" t="s">
        <v>98</v>
      </c>
      <c r="F262" s="34"/>
      <c r="G262" s="35"/>
      <c r="H262" s="36"/>
      <c r="I262" s="37"/>
      <c r="J262" s="75"/>
      <c r="K262" s="80"/>
      <c r="L262" s="56"/>
    </row>
    <row r="263" spans="1:14" s="184" customFormat="1" ht="16.5" thickBot="1" x14ac:dyDescent="0.25">
      <c r="A263" s="112" t="str">
        <f>IF(F263&lt;&gt;"",1+MAX($A$1:A262),"")</f>
        <v/>
      </c>
      <c r="B263" s="312"/>
      <c r="C263" s="219"/>
      <c r="D263" s="313"/>
      <c r="E263" s="313" t="s">
        <v>42</v>
      </c>
      <c r="F263" s="314"/>
      <c r="G263" s="315"/>
      <c r="H263" s="318"/>
      <c r="I263" s="319"/>
      <c r="J263" s="316"/>
      <c r="K263" s="317"/>
      <c r="L263" s="205"/>
    </row>
    <row r="264" spans="1:14" s="1" customFormat="1" x14ac:dyDescent="0.2">
      <c r="A264" s="112">
        <f>IF(F264&lt;&gt;"",1+MAX($A$1:A263),"")</f>
        <v>112</v>
      </c>
      <c r="B264" s="2"/>
      <c r="C264" s="2"/>
      <c r="D264" s="39"/>
      <c r="E264" s="54" t="s">
        <v>124</v>
      </c>
      <c r="F264" s="17">
        <v>1</v>
      </c>
      <c r="G264" s="59">
        <v>0</v>
      </c>
      <c r="H264" s="4">
        <f t="shared" ref="H264" si="92">F264*(1+G264)</f>
        <v>1</v>
      </c>
      <c r="I264" s="25" t="s">
        <v>27</v>
      </c>
      <c r="J264" s="130">
        <v>0</v>
      </c>
      <c r="K264" s="64">
        <f t="shared" ref="K264" si="93">J264*H264</f>
        <v>0</v>
      </c>
      <c r="L264" s="81"/>
      <c r="N264" s="357"/>
    </row>
    <row r="265" spans="1:14" s="1" customFormat="1" ht="16.5" thickBot="1" x14ac:dyDescent="0.25">
      <c r="A265" s="112" t="str">
        <f>IF(F265&lt;&gt;"",1+MAX($A$1:A264),"")</f>
        <v/>
      </c>
      <c r="B265" s="2"/>
      <c r="C265" s="30"/>
      <c r="D265" s="39"/>
      <c r="F265" s="44"/>
      <c r="G265" s="45"/>
      <c r="H265" s="44"/>
      <c r="I265" s="46"/>
      <c r="J265" s="73"/>
      <c r="K265" s="65"/>
      <c r="L265" s="82"/>
    </row>
    <row r="266" spans="1:14" s="1" customFormat="1" ht="16.5" thickBot="1" x14ac:dyDescent="0.25">
      <c r="A266" s="112" t="str">
        <f>IF(F266&lt;&gt;"",1+MAX($A$1:A265),"")</f>
        <v/>
      </c>
      <c r="B266" s="2"/>
      <c r="C266" s="2"/>
      <c r="D266" s="39"/>
      <c r="E266" s="53" t="s">
        <v>99</v>
      </c>
      <c r="F266" s="29"/>
      <c r="G266" s="24"/>
      <c r="H266" s="4"/>
      <c r="I266" s="25"/>
      <c r="J266" s="74"/>
      <c r="K266" s="68"/>
      <c r="L266" s="47">
        <f>SUM(K263:K265)</f>
        <v>0</v>
      </c>
    </row>
    <row r="267" spans="1:14" s="1" customFormat="1" ht="16.5" thickBot="1" x14ac:dyDescent="0.25">
      <c r="A267" s="112" t="str">
        <f>IF(F267&lt;&gt;"",1+MAX($A$1:A266),"")</f>
        <v/>
      </c>
      <c r="B267" s="2"/>
      <c r="C267" s="2"/>
      <c r="D267" s="58"/>
      <c r="E267" s="53"/>
      <c r="F267" s="29"/>
      <c r="G267" s="3"/>
      <c r="H267" s="4"/>
      <c r="I267" s="25"/>
      <c r="J267" s="74"/>
      <c r="K267" s="68"/>
      <c r="L267" s="66"/>
    </row>
    <row r="268" spans="1:14" ht="16.5" thickBot="1" x14ac:dyDescent="0.25">
      <c r="A268" s="112" t="str">
        <f>IF(F268&lt;&gt;"",1+MAX($A$1:A267),"")</f>
        <v/>
      </c>
      <c r="B268" s="61"/>
      <c r="C268" s="33"/>
      <c r="D268" s="50" t="s">
        <v>38</v>
      </c>
      <c r="E268" s="51" t="s">
        <v>39</v>
      </c>
      <c r="F268" s="34"/>
      <c r="G268" s="35"/>
      <c r="H268" s="36"/>
      <c r="I268" s="37"/>
      <c r="J268" s="75"/>
      <c r="K268" s="80"/>
      <c r="L268" s="56"/>
    </row>
    <row r="269" spans="1:14" s="184" customFormat="1" ht="16.5" thickBot="1" x14ac:dyDescent="0.25">
      <c r="A269" s="112" t="str">
        <f>IF(F269&lt;&gt;"",1+MAX($A$1:A268),"")</f>
        <v/>
      </c>
      <c r="B269" s="312"/>
      <c r="C269" s="219"/>
      <c r="D269" s="313"/>
      <c r="E269" s="313" t="s">
        <v>120</v>
      </c>
      <c r="F269" s="314"/>
      <c r="G269" s="315"/>
      <c r="H269" s="318"/>
      <c r="I269" s="319"/>
      <c r="J269" s="316"/>
      <c r="K269" s="317"/>
      <c r="L269" s="205"/>
    </row>
    <row r="270" spans="1:14" s="184" customFormat="1" ht="31.5" x14ac:dyDescent="0.2">
      <c r="A270" s="112">
        <f>IF(F270&lt;&gt;"",1+MAX($A$1:A269),"")</f>
        <v>113</v>
      </c>
      <c r="B270" s="2"/>
      <c r="C270" s="30"/>
      <c r="D270" s="213"/>
      <c r="E270" s="54" t="s">
        <v>248</v>
      </c>
      <c r="F270" s="17">
        <v>1</v>
      </c>
      <c r="G270" s="232">
        <v>0</v>
      </c>
      <c r="H270" s="31">
        <f>F270*(1+G270)</f>
        <v>1</v>
      </c>
      <c r="I270" s="32" t="s">
        <v>27</v>
      </c>
      <c r="J270" s="130">
        <v>0</v>
      </c>
      <c r="K270" s="131">
        <f t="shared" ref="K270" si="94">J270*H270</f>
        <v>0</v>
      </c>
      <c r="L270" s="205"/>
      <c r="M270" s="1"/>
      <c r="N270" s="357"/>
    </row>
    <row r="271" spans="1:14" s="1" customFormat="1" ht="16.5" thickBot="1" x14ac:dyDescent="0.25">
      <c r="A271" s="112" t="str">
        <f>IF(F271&lt;&gt;"",1+MAX($A$1:A270),"")</f>
        <v/>
      </c>
      <c r="B271" s="2"/>
      <c r="C271" s="2"/>
      <c r="D271" s="39"/>
      <c r="E271" s="53"/>
      <c r="F271" s="44"/>
      <c r="G271" s="45"/>
      <c r="H271" s="44"/>
      <c r="I271" s="46"/>
      <c r="J271" s="73"/>
      <c r="K271" s="65"/>
      <c r="L271" s="56"/>
    </row>
    <row r="272" spans="1:14" s="1" customFormat="1" ht="16.5" thickBot="1" x14ac:dyDescent="0.25">
      <c r="A272" s="112" t="str">
        <f>IF(F272&lt;&gt;"",1+MAX($A$1:A271),"")</f>
        <v/>
      </c>
      <c r="B272" s="2"/>
      <c r="C272" s="2"/>
      <c r="D272" s="39"/>
      <c r="E272" s="53" t="s">
        <v>40</v>
      </c>
      <c r="F272" s="29"/>
      <c r="G272" s="24"/>
      <c r="H272" s="4"/>
      <c r="I272" s="25"/>
      <c r="J272" s="74"/>
      <c r="K272" s="68"/>
      <c r="L272" s="57">
        <f>SUM(K269:K271)</f>
        <v>0</v>
      </c>
    </row>
    <row r="273" spans="1:12" s="1" customFormat="1" x14ac:dyDescent="0.2">
      <c r="A273" s="112" t="str">
        <f>IF(F273&lt;&gt;"",1+MAX($A$1:A272),"")</f>
        <v/>
      </c>
      <c r="B273" s="2"/>
      <c r="C273" s="2"/>
      <c r="D273" s="58"/>
      <c r="E273" s="53"/>
      <c r="F273" s="29"/>
      <c r="G273" s="3"/>
      <c r="H273" s="4"/>
      <c r="I273" s="25"/>
      <c r="J273" s="74"/>
      <c r="K273" s="68"/>
      <c r="L273" s="66"/>
    </row>
    <row r="274" spans="1:12" ht="16.5" thickBot="1" x14ac:dyDescent="0.25">
      <c r="A274" s="89" t="str">
        <f>IF(F274&lt;&gt;"",1+MAX($A$6:A272),"")</f>
        <v/>
      </c>
      <c r="B274" s="90"/>
      <c r="C274" s="91"/>
      <c r="D274" s="91"/>
      <c r="E274" s="92"/>
      <c r="F274" s="93"/>
      <c r="G274" s="94"/>
      <c r="H274" s="94"/>
      <c r="I274" s="38"/>
      <c r="J274" s="95"/>
      <c r="K274" s="96"/>
      <c r="L274" s="20"/>
    </row>
    <row r="275" spans="1:12" ht="16.5" thickBot="1" x14ac:dyDescent="0.25">
      <c r="A275" s="103" t="s">
        <v>14</v>
      </c>
      <c r="B275" s="104"/>
      <c r="C275" s="105"/>
      <c r="D275" s="105"/>
      <c r="E275" s="106"/>
      <c r="F275" s="107"/>
      <c r="G275" s="108"/>
      <c r="H275" s="108"/>
      <c r="I275" s="109"/>
      <c r="J275" s="330"/>
      <c r="K275" s="338">
        <f>(SUM(K7:K274))/1</f>
        <v>0</v>
      </c>
      <c r="L275" s="331">
        <f>SUM(L7:L274)</f>
        <v>0</v>
      </c>
    </row>
    <row r="276" spans="1:12" ht="16.5" thickBot="1" x14ac:dyDescent="0.25">
      <c r="A276" s="347" t="s">
        <v>137</v>
      </c>
      <c r="B276" s="348"/>
      <c r="C276" s="349"/>
      <c r="D276" s="349"/>
      <c r="E276" s="350"/>
      <c r="F276" s="351"/>
      <c r="G276" s="352"/>
      <c r="H276" s="352"/>
      <c r="I276" s="353"/>
      <c r="J276" s="354">
        <v>0.2</v>
      </c>
      <c r="K276" s="355">
        <f>J276*K275</f>
        <v>0</v>
      </c>
      <c r="L276" s="356">
        <f>L275*J276</f>
        <v>0</v>
      </c>
    </row>
    <row r="277" spans="1:12" ht="16.5" thickBot="1" x14ac:dyDescent="0.25">
      <c r="A277" s="347" t="s">
        <v>249</v>
      </c>
      <c r="B277" s="348"/>
      <c r="C277" s="349"/>
      <c r="D277" s="349"/>
      <c r="E277" s="350"/>
      <c r="F277" s="351"/>
      <c r="G277" s="352"/>
      <c r="H277" s="352"/>
      <c r="I277" s="353"/>
      <c r="J277" s="354">
        <v>0.03</v>
      </c>
      <c r="K277" s="355">
        <f>J277*K275</f>
        <v>0</v>
      </c>
      <c r="L277" s="431">
        <f>J277*L275</f>
        <v>0</v>
      </c>
    </row>
    <row r="278" spans="1:12" ht="16.5" thickBot="1" x14ac:dyDescent="0.25">
      <c r="A278" s="339" t="s">
        <v>3</v>
      </c>
      <c r="B278" s="97"/>
      <c r="C278" s="98"/>
      <c r="D278" s="98"/>
      <c r="E278" s="99"/>
      <c r="F278" s="100"/>
      <c r="G278" s="101"/>
      <c r="H278" s="102"/>
      <c r="I278" s="98"/>
      <c r="J278" s="337"/>
      <c r="K278" s="340"/>
      <c r="L278" s="341">
        <f>SUM(L275:L277)</f>
        <v>0</v>
      </c>
    </row>
    <row r="279" spans="1:12" x14ac:dyDescent="0.2">
      <c r="A279" s="421" t="s">
        <v>43</v>
      </c>
      <c r="B279" s="422"/>
      <c r="C279" s="423"/>
      <c r="D279" s="423"/>
      <c r="E279" s="424"/>
      <c r="F279" s="425"/>
      <c r="G279" s="426"/>
      <c r="H279" s="426"/>
      <c r="I279" s="423"/>
      <c r="J279" s="427"/>
      <c r="K279" s="428"/>
      <c r="L279" s="429"/>
    </row>
    <row r="280" spans="1:12" ht="16.5" thickBot="1" x14ac:dyDescent="0.25">
      <c r="A280" s="358" t="s">
        <v>119</v>
      </c>
      <c r="B280" s="359"/>
      <c r="C280" s="360"/>
      <c r="D280" s="360"/>
      <c r="E280" s="361"/>
      <c r="F280" s="362"/>
      <c r="G280" s="363"/>
      <c r="H280" s="363"/>
      <c r="I280" s="360"/>
      <c r="J280" s="364"/>
      <c r="K280" s="365"/>
      <c r="L280" s="366"/>
    </row>
  </sheetData>
  <pageMargins left="0.25" right="0.25" top="0.75" bottom="0.75" header="0.3" footer="0.3"/>
  <pageSetup scale="75" fitToHeight="0" orientation="landscape" r:id="rId1"/>
  <headerFooter>
    <oddFooter>&amp;C&amp;P of &amp;N</oddFooter>
  </headerFooter>
  <ignoredErrors>
    <ignoredError sqref="H274:H275 H131 H27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9"/>
  <sheetViews>
    <sheetView view="pageBreakPreview" zoomScale="70" zoomScaleNormal="90" zoomScaleSheetLayoutView="70" workbookViewId="0">
      <pane ySplit="5" topLeftCell="A6" activePane="bottomLeft" state="frozen"/>
      <selection activeCell="B2" sqref="B2"/>
      <selection pane="bottomLeft" activeCell="A6" sqref="A6"/>
    </sheetView>
  </sheetViews>
  <sheetFormatPr defaultColWidth="9.6640625" defaultRowHeight="15.75" x14ac:dyDescent="0.2"/>
  <cols>
    <col min="1" max="1" width="15.21875" style="305" customWidth="1"/>
    <col min="2" max="2" width="47.5546875" style="306" customWidth="1"/>
    <col min="3" max="3" width="12.77734375" style="307" customWidth="1"/>
    <col min="4" max="4" width="5.33203125" style="308" customWidth="1"/>
    <col min="5" max="5" width="15.21875" style="308" customWidth="1"/>
    <col min="6" max="6" width="13.109375" style="309" customWidth="1"/>
    <col min="7" max="7" width="13.44140625" style="306" customWidth="1"/>
    <col min="8" max="8" width="16.88671875" style="306" customWidth="1"/>
    <col min="9" max="9" width="15.77734375" style="310" customWidth="1"/>
    <col min="10" max="16384" width="9.6640625" style="245"/>
  </cols>
  <sheetData>
    <row r="1" spans="1:9" ht="23.25" x14ac:dyDescent="0.2">
      <c r="A1" s="241" t="s">
        <v>7</v>
      </c>
      <c r="B1" s="242"/>
      <c r="C1" s="243"/>
      <c r="D1" s="244"/>
      <c r="E1" s="244"/>
      <c r="F1" s="182"/>
      <c r="G1" s="182"/>
      <c r="H1" s="179"/>
      <c r="I1" s="183"/>
    </row>
    <row r="2" spans="1:9" ht="21" x14ac:dyDescent="0.2">
      <c r="A2" s="246" t="s">
        <v>8</v>
      </c>
      <c r="B2" s="247"/>
      <c r="C2" s="248"/>
      <c r="D2" s="249"/>
      <c r="E2" s="250"/>
      <c r="F2" s="251"/>
      <c r="G2" s="251"/>
      <c r="H2" s="180"/>
      <c r="I2" s="185"/>
    </row>
    <row r="3" spans="1:9" ht="21" x14ac:dyDescent="0.2">
      <c r="A3" s="252" t="s">
        <v>9</v>
      </c>
      <c r="B3" s="332">
        <v>45120</v>
      </c>
      <c r="C3" s="248"/>
      <c r="D3" s="253"/>
      <c r="E3" s="254"/>
      <c r="F3" s="251"/>
      <c r="G3" s="251"/>
      <c r="H3" s="180"/>
      <c r="I3" s="185"/>
    </row>
    <row r="4" spans="1:9" ht="21.75" thickBot="1" x14ac:dyDescent="0.25">
      <c r="A4" s="367" t="s">
        <v>10</v>
      </c>
      <c r="B4" s="368">
        <v>45111</v>
      </c>
      <c r="C4" s="369"/>
      <c r="D4" s="369"/>
      <c r="E4" s="369"/>
      <c r="F4" s="370"/>
      <c r="G4" s="370"/>
      <c r="H4" s="255"/>
      <c r="I4" s="187"/>
    </row>
    <row r="5" spans="1:9" s="256" customFormat="1" ht="38.25" thickBot="1" x14ac:dyDescent="0.25">
      <c r="A5" s="439" t="s">
        <v>11</v>
      </c>
      <c r="B5" s="440" t="s">
        <v>1</v>
      </c>
      <c r="C5" s="441" t="s">
        <v>100</v>
      </c>
      <c r="D5" s="442" t="s">
        <v>0</v>
      </c>
      <c r="E5" s="440" t="s">
        <v>101</v>
      </c>
      <c r="F5" s="440" t="s">
        <v>102</v>
      </c>
      <c r="G5" s="440" t="s">
        <v>103</v>
      </c>
      <c r="H5" s="440" t="s">
        <v>104</v>
      </c>
      <c r="I5" s="443" t="s">
        <v>6</v>
      </c>
    </row>
    <row r="6" spans="1:9" ht="21" x14ac:dyDescent="0.2">
      <c r="A6" s="257" t="str">
        <f>IF(C6&lt;&gt;"",1+MAX($A$5:A5),"")</f>
        <v/>
      </c>
      <c r="B6" s="258" t="s">
        <v>191</v>
      </c>
      <c r="C6" s="267"/>
      <c r="D6" s="259"/>
      <c r="E6" s="260"/>
      <c r="F6" s="260"/>
      <c r="G6" s="260"/>
      <c r="H6" s="260"/>
      <c r="I6" s="262"/>
    </row>
    <row r="7" spans="1:9" ht="21" x14ac:dyDescent="0.2">
      <c r="A7" s="257" t="str">
        <f>IF(C7&lt;&gt;"",1+MAX($A$5:A6),"")</f>
        <v/>
      </c>
      <c r="B7" s="261"/>
      <c r="C7" s="267"/>
      <c r="D7" s="259"/>
      <c r="E7" s="260"/>
      <c r="F7" s="260"/>
      <c r="G7" s="260"/>
      <c r="H7" s="260"/>
      <c r="I7" s="262"/>
    </row>
    <row r="8" spans="1:9" ht="21" x14ac:dyDescent="0.2">
      <c r="A8" s="257">
        <f>IF(C8&lt;&gt;"",1+MAX($A$5:A7),"")</f>
        <v>1</v>
      </c>
      <c r="B8" s="261" t="s">
        <v>134</v>
      </c>
      <c r="C8" s="267">
        <f>12</f>
        <v>12</v>
      </c>
      <c r="D8" s="264" t="s">
        <v>20</v>
      </c>
      <c r="E8" s="395">
        <v>0</v>
      </c>
      <c r="F8" s="395">
        <v>0</v>
      </c>
      <c r="G8" s="265">
        <f>E8*C8</f>
        <v>0</v>
      </c>
      <c r="H8" s="265">
        <f>F8*C8</f>
        <v>0</v>
      </c>
      <c r="I8" s="262">
        <f t="shared" ref="I8:I10" si="0">H8+G8</f>
        <v>0</v>
      </c>
    </row>
    <row r="9" spans="1:9" ht="21" x14ac:dyDescent="0.2">
      <c r="A9" s="257">
        <f>IF(C9&lt;&gt;"",1+MAX($A$5:A8),"")</f>
        <v>2</v>
      </c>
      <c r="B9" s="263" t="s">
        <v>133</v>
      </c>
      <c r="C9" s="267">
        <v>322</v>
      </c>
      <c r="D9" s="259" t="s">
        <v>20</v>
      </c>
      <c r="E9" s="395">
        <v>0</v>
      </c>
      <c r="F9" s="395">
        <v>0</v>
      </c>
      <c r="G9" s="265">
        <f>E9*C9</f>
        <v>0</v>
      </c>
      <c r="H9" s="265">
        <f>F9*C9</f>
        <v>0</v>
      </c>
      <c r="I9" s="262">
        <f t="shared" si="0"/>
        <v>0</v>
      </c>
    </row>
    <row r="10" spans="1:9" ht="21" x14ac:dyDescent="0.2">
      <c r="A10" s="257">
        <f>IF(C10&lt;&gt;"",1+MAX($A$5:A9),"")</f>
        <v>3</v>
      </c>
      <c r="B10" s="261" t="s">
        <v>135</v>
      </c>
      <c r="C10" s="267">
        <v>36</v>
      </c>
      <c r="D10" s="259" t="s">
        <v>20</v>
      </c>
      <c r="E10" s="395">
        <v>0</v>
      </c>
      <c r="F10" s="395">
        <v>0</v>
      </c>
      <c r="G10" s="265">
        <f>E10*C10</f>
        <v>0</v>
      </c>
      <c r="H10" s="265">
        <f>F10*C10</f>
        <v>0</v>
      </c>
      <c r="I10" s="262">
        <f t="shared" si="0"/>
        <v>0</v>
      </c>
    </row>
    <row r="11" spans="1:9" ht="21" x14ac:dyDescent="0.2">
      <c r="A11" s="257" t="str">
        <f>IF(C11&lt;&gt;"",1+MAX($A$5:A10),"")</f>
        <v/>
      </c>
      <c r="B11" s="261"/>
      <c r="C11" s="267"/>
      <c r="D11" s="259"/>
      <c r="E11" s="260"/>
      <c r="F11" s="260"/>
      <c r="G11" s="260"/>
      <c r="H11" s="260"/>
      <c r="I11" s="262"/>
    </row>
    <row r="12" spans="1:9" ht="21" x14ac:dyDescent="0.2">
      <c r="A12" s="257" t="str">
        <f>IF(C12&lt;&gt;"",1+MAX($A$5:A11),"")</f>
        <v/>
      </c>
      <c r="B12" s="258" t="s">
        <v>105</v>
      </c>
      <c r="C12" s="267"/>
      <c r="D12" s="259"/>
      <c r="E12" s="260"/>
      <c r="F12" s="260"/>
      <c r="G12" s="260"/>
      <c r="H12" s="260"/>
      <c r="I12" s="262"/>
    </row>
    <row r="13" spans="1:9" ht="21" x14ac:dyDescent="0.2">
      <c r="A13" s="257" t="str">
        <f>IF(C13&lt;&gt;"",1+MAX($A$5:A12),"")</f>
        <v/>
      </c>
      <c r="B13" s="261"/>
      <c r="C13" s="267"/>
      <c r="D13" s="259"/>
      <c r="E13" s="260"/>
      <c r="F13" s="260"/>
      <c r="G13" s="260"/>
      <c r="H13" s="260"/>
      <c r="I13" s="262"/>
    </row>
    <row r="14" spans="1:9" ht="21" x14ac:dyDescent="0.2">
      <c r="A14" s="257">
        <f>IF(C14&lt;&gt;"",1+MAX($A$5:A13),"")</f>
        <v>4</v>
      </c>
      <c r="B14" s="263" t="s">
        <v>135</v>
      </c>
      <c r="C14" s="267">
        <v>3</v>
      </c>
      <c r="D14" s="264" t="s">
        <v>20</v>
      </c>
      <c r="E14" s="260">
        <f t="shared" ref="E14:F14" si="1">E$10</f>
        <v>0</v>
      </c>
      <c r="F14" s="260">
        <f t="shared" si="1"/>
        <v>0</v>
      </c>
      <c r="G14" s="265">
        <f>E14*C14</f>
        <v>0</v>
      </c>
      <c r="H14" s="265">
        <f>F14*C14</f>
        <v>0</v>
      </c>
      <c r="I14" s="262">
        <f t="shared" ref="I14:I17" si="2">H14+G14</f>
        <v>0</v>
      </c>
    </row>
    <row r="15" spans="1:9" ht="21" x14ac:dyDescent="0.2">
      <c r="A15" s="257">
        <f>IF(C15&lt;&gt;"",1+MAX($A$5:A14),"")</f>
        <v>5</v>
      </c>
      <c r="B15" s="263" t="s">
        <v>192</v>
      </c>
      <c r="C15" s="267">
        <f>49</f>
        <v>49</v>
      </c>
      <c r="D15" s="259" t="s">
        <v>20</v>
      </c>
      <c r="E15" s="395">
        <v>0</v>
      </c>
      <c r="F15" s="395">
        <v>0</v>
      </c>
      <c r="G15" s="265">
        <f>E15*C15</f>
        <v>0</v>
      </c>
      <c r="H15" s="265">
        <f>F15*C15</f>
        <v>0</v>
      </c>
      <c r="I15" s="262">
        <f t="shared" si="2"/>
        <v>0</v>
      </c>
    </row>
    <row r="16" spans="1:9" ht="21" x14ac:dyDescent="0.2">
      <c r="A16" s="257">
        <f>IF(C16&lt;&gt;"",1+MAX($A$5:A15),"")</f>
        <v>6</v>
      </c>
      <c r="B16" s="263" t="s">
        <v>193</v>
      </c>
      <c r="C16" s="267">
        <v>9</v>
      </c>
      <c r="D16" s="259" t="s">
        <v>20</v>
      </c>
      <c r="E16" s="260">
        <f t="shared" ref="E16:F16" si="3">E$9</f>
        <v>0</v>
      </c>
      <c r="F16" s="260">
        <f t="shared" si="3"/>
        <v>0</v>
      </c>
      <c r="G16" s="265">
        <f>E16*C16</f>
        <v>0</v>
      </c>
      <c r="H16" s="265">
        <f>F16*C16</f>
        <v>0</v>
      </c>
      <c r="I16" s="262">
        <f t="shared" ref="I16" si="4">H16+G16</f>
        <v>0</v>
      </c>
    </row>
    <row r="17" spans="1:9" ht="21" x14ac:dyDescent="0.2">
      <c r="A17" s="257">
        <f>IF(C17&lt;&gt;"",1+MAX($A$5:A16),"")</f>
        <v>7</v>
      </c>
      <c r="B17" s="261" t="s">
        <v>135</v>
      </c>
      <c r="C17" s="267">
        <v>7</v>
      </c>
      <c r="D17" s="259" t="s">
        <v>20</v>
      </c>
      <c r="E17" s="260">
        <f t="shared" ref="E17:F17" si="5">E$10</f>
        <v>0</v>
      </c>
      <c r="F17" s="260">
        <f t="shared" si="5"/>
        <v>0</v>
      </c>
      <c r="G17" s="265">
        <f>E17*C17</f>
        <v>0</v>
      </c>
      <c r="H17" s="265">
        <f>F17*C17</f>
        <v>0</v>
      </c>
      <c r="I17" s="262">
        <f t="shared" si="2"/>
        <v>0</v>
      </c>
    </row>
    <row r="18" spans="1:9" ht="21.75" thickBot="1" x14ac:dyDescent="0.25">
      <c r="A18" s="257" t="str">
        <f>IF(C18&lt;&gt;"",1+MAX($A$5:A17),"")</f>
        <v/>
      </c>
      <c r="B18" s="269"/>
      <c r="C18" s="270"/>
      <c r="D18" s="271"/>
      <c r="E18" s="272"/>
      <c r="F18" s="272"/>
      <c r="G18" s="273"/>
      <c r="H18" s="273"/>
      <c r="I18" s="274"/>
    </row>
    <row r="19" spans="1:9" ht="21.75" thickBot="1" x14ac:dyDescent="0.25">
      <c r="A19" s="257" t="str">
        <f>IF(C19&lt;&gt;"",1+MAX($A$5:A18),"")</f>
        <v/>
      </c>
      <c r="B19" s="329" t="s">
        <v>184</v>
      </c>
      <c r="C19" s="275"/>
      <c r="D19" s="276"/>
      <c r="E19" s="277"/>
      <c r="F19" s="277"/>
      <c r="G19" s="278"/>
      <c r="H19" s="278"/>
      <c r="I19" s="279"/>
    </row>
    <row r="20" spans="1:9" ht="21" x14ac:dyDescent="0.2">
      <c r="A20" s="257" t="str">
        <f>IF(C20&lt;&gt;"",1+MAX($A$5:A19),"")</f>
        <v/>
      </c>
      <c r="B20" s="280" t="s">
        <v>106</v>
      </c>
      <c r="C20" s="281"/>
      <c r="D20" s="282"/>
      <c r="E20" s="283"/>
      <c r="F20" s="283"/>
      <c r="G20" s="283"/>
      <c r="H20" s="283"/>
      <c r="I20" s="284"/>
    </row>
    <row r="21" spans="1:9" ht="21" x14ac:dyDescent="0.2">
      <c r="A21" s="257" t="str">
        <f>IF(C21&lt;&gt;"",1+MAX($A$5:A20),"")</f>
        <v/>
      </c>
      <c r="B21" s="261"/>
      <c r="C21" s="268"/>
      <c r="D21" s="259"/>
      <c r="E21" s="260"/>
      <c r="F21" s="260"/>
      <c r="G21" s="260"/>
      <c r="H21" s="260"/>
      <c r="I21" s="262"/>
    </row>
    <row r="22" spans="1:9" ht="21" x14ac:dyDescent="0.2">
      <c r="A22" s="257">
        <f>IF(C22&lt;&gt;"",1+MAX($A$5:A21),"")</f>
        <v>8</v>
      </c>
      <c r="B22" s="261" t="s">
        <v>185</v>
      </c>
      <c r="C22" s="268">
        <v>10</v>
      </c>
      <c r="D22" s="259" t="s">
        <v>15</v>
      </c>
      <c r="E22" s="395">
        <v>0</v>
      </c>
      <c r="F22" s="395">
        <v>0</v>
      </c>
      <c r="G22" s="265">
        <f>E22*C22</f>
        <v>0</v>
      </c>
      <c r="H22" s="265">
        <f>F22*C22</f>
        <v>0</v>
      </c>
      <c r="I22" s="262">
        <f>H22+G22</f>
        <v>0</v>
      </c>
    </row>
    <row r="23" spans="1:9" ht="21" x14ac:dyDescent="0.2">
      <c r="A23" s="257">
        <f>IF(C23&lt;&gt;"",1+MAX($A$5:A22),"")</f>
        <v>9</v>
      </c>
      <c r="B23" s="261" t="s">
        <v>186</v>
      </c>
      <c r="C23" s="268">
        <f>14</f>
        <v>14</v>
      </c>
      <c r="D23" s="259" t="s">
        <v>15</v>
      </c>
      <c r="E23" s="395">
        <v>0</v>
      </c>
      <c r="F23" s="395">
        <v>0</v>
      </c>
      <c r="G23" s="265">
        <f>E23*C23</f>
        <v>0</v>
      </c>
      <c r="H23" s="265">
        <f>F23*C23</f>
        <v>0</v>
      </c>
      <c r="I23" s="262">
        <f>H23+G23</f>
        <v>0</v>
      </c>
    </row>
    <row r="24" spans="1:9" ht="21" x14ac:dyDescent="0.2">
      <c r="A24" s="257" t="str">
        <f>IF(C24&lt;&gt;"",1+MAX($A$5:A23),"")</f>
        <v/>
      </c>
      <c r="B24" s="261"/>
      <c r="C24" s="268"/>
      <c r="D24" s="259"/>
      <c r="E24" s="260"/>
      <c r="F24" s="260"/>
      <c r="G24" s="265"/>
      <c r="H24" s="265"/>
      <c r="I24" s="262"/>
    </row>
    <row r="25" spans="1:9" ht="21" x14ac:dyDescent="0.2">
      <c r="A25" s="257" t="str">
        <f>IF(C25&lt;&gt;"",1+MAX($A$5:A24),"")</f>
        <v/>
      </c>
      <c r="B25" s="285" t="s">
        <v>188</v>
      </c>
      <c r="C25" s="268"/>
      <c r="D25" s="259"/>
      <c r="E25" s="260"/>
      <c r="F25" s="260"/>
      <c r="G25" s="260"/>
      <c r="H25" s="260"/>
      <c r="I25" s="262"/>
    </row>
    <row r="26" spans="1:9" ht="21" x14ac:dyDescent="0.2">
      <c r="A26" s="257" t="str">
        <f>IF(C26&lt;&gt;"",1+MAX($A$5:A25),"")</f>
        <v/>
      </c>
      <c r="B26" s="261"/>
      <c r="C26" s="268"/>
      <c r="D26" s="259"/>
      <c r="E26" s="260"/>
      <c r="F26" s="260"/>
      <c r="G26" s="260"/>
      <c r="H26" s="260"/>
      <c r="I26" s="262"/>
    </row>
    <row r="27" spans="1:9" ht="21" x14ac:dyDescent="0.2">
      <c r="A27" s="257">
        <f>IF(C27&lt;&gt;"",1+MAX($A$5:A26),"")</f>
        <v>10</v>
      </c>
      <c r="B27" s="261" t="s">
        <v>187</v>
      </c>
      <c r="C27" s="267">
        <v>3</v>
      </c>
      <c r="D27" s="259" t="s">
        <v>20</v>
      </c>
      <c r="E27" s="395">
        <v>0</v>
      </c>
      <c r="F27" s="395">
        <v>0</v>
      </c>
      <c r="G27" s="265">
        <f>E27*C27</f>
        <v>0</v>
      </c>
      <c r="H27" s="265">
        <f>F27*C27</f>
        <v>0</v>
      </c>
      <c r="I27" s="262">
        <f>H27+G27</f>
        <v>0</v>
      </c>
    </row>
    <row r="28" spans="1:9" ht="21.75" thickBot="1" x14ac:dyDescent="0.25">
      <c r="A28" s="257" t="str">
        <f>IF(C28&lt;&gt;"",1+MAX($A$5:A27),"")</f>
        <v/>
      </c>
      <c r="B28" s="286"/>
      <c r="C28" s="267"/>
      <c r="D28" s="259"/>
      <c r="E28" s="260"/>
      <c r="F28" s="260"/>
      <c r="G28" s="260"/>
      <c r="H28" s="260"/>
      <c r="I28" s="262"/>
    </row>
    <row r="29" spans="1:9" ht="21.75" thickBot="1" x14ac:dyDescent="0.25">
      <c r="A29" s="257" t="str">
        <f>IF(C29&lt;&gt;"",1+MAX($A$5:A28),"")</f>
        <v/>
      </c>
      <c r="B29" s="329" t="s">
        <v>82</v>
      </c>
      <c r="C29" s="275"/>
      <c r="D29" s="276"/>
      <c r="E29" s="277"/>
      <c r="F29" s="277"/>
      <c r="G29" s="278"/>
      <c r="H29" s="278"/>
      <c r="I29" s="279"/>
    </row>
    <row r="30" spans="1:9" ht="21" x14ac:dyDescent="0.2">
      <c r="A30" s="257" t="str">
        <f>IF(C30&lt;&gt;"",1+MAX($A$5:A29),"")</f>
        <v/>
      </c>
      <c r="B30" s="280" t="s">
        <v>106</v>
      </c>
      <c r="C30" s="281"/>
      <c r="D30" s="282"/>
      <c r="E30" s="283"/>
      <c r="F30" s="283"/>
      <c r="G30" s="283"/>
      <c r="H30" s="283"/>
      <c r="I30" s="284"/>
    </row>
    <row r="31" spans="1:9" ht="21" x14ac:dyDescent="0.2">
      <c r="A31" s="257" t="str">
        <f>IF(C31&lt;&gt;"",1+MAX($A$5:A30),"")</f>
        <v/>
      </c>
      <c r="B31" s="261"/>
      <c r="C31" s="268"/>
      <c r="D31" s="259"/>
      <c r="E31" s="260"/>
      <c r="F31" s="260"/>
      <c r="G31" s="260"/>
      <c r="H31" s="260"/>
      <c r="I31" s="262"/>
    </row>
    <row r="32" spans="1:9" ht="21" x14ac:dyDescent="0.2">
      <c r="A32" s="257">
        <f>IF(C32&lt;&gt;"",1+MAX($A$5:A31),"")</f>
        <v>11</v>
      </c>
      <c r="B32" s="261" t="s">
        <v>189</v>
      </c>
      <c r="C32" s="268">
        <v>17</v>
      </c>
      <c r="D32" s="259" t="s">
        <v>15</v>
      </c>
      <c r="E32" s="395">
        <v>0</v>
      </c>
      <c r="F32" s="395">
        <v>0</v>
      </c>
      <c r="G32" s="265">
        <f>E32*C32</f>
        <v>0</v>
      </c>
      <c r="H32" s="265">
        <f>F32*C32</f>
        <v>0</v>
      </c>
      <c r="I32" s="262">
        <f>H32+G32</f>
        <v>0</v>
      </c>
    </row>
    <row r="33" spans="1:9" ht="21" x14ac:dyDescent="0.2">
      <c r="A33" s="257">
        <f>IF(C33&lt;&gt;"",1+MAX($A$5:A32),"")</f>
        <v>12</v>
      </c>
      <c r="B33" s="261" t="s">
        <v>190</v>
      </c>
      <c r="C33" s="268">
        <v>6</v>
      </c>
      <c r="D33" s="259" t="s">
        <v>15</v>
      </c>
      <c r="E33" s="395">
        <v>0</v>
      </c>
      <c r="F33" s="395">
        <v>0</v>
      </c>
      <c r="G33" s="265">
        <f>E33*C33</f>
        <v>0</v>
      </c>
      <c r="H33" s="265">
        <f>F33*C33</f>
        <v>0</v>
      </c>
      <c r="I33" s="262">
        <f>H33+G33</f>
        <v>0</v>
      </c>
    </row>
    <row r="34" spans="1:9" ht="21" x14ac:dyDescent="0.2">
      <c r="A34" s="257" t="str">
        <f>IF(C34&lt;&gt;"",1+MAX($A$5:A33),"")</f>
        <v/>
      </c>
      <c r="B34" s="261"/>
      <c r="C34" s="268"/>
      <c r="D34" s="259"/>
      <c r="E34" s="260"/>
      <c r="F34" s="260"/>
      <c r="G34" s="265"/>
      <c r="H34" s="265"/>
      <c r="I34" s="262"/>
    </row>
    <row r="35" spans="1:9" ht="21" x14ac:dyDescent="0.2">
      <c r="A35" s="257" t="str">
        <f>IF(C35&lt;&gt;"",1+MAX($A$5:A34),"")</f>
        <v/>
      </c>
      <c r="B35" s="285" t="s">
        <v>107</v>
      </c>
      <c r="C35" s="268"/>
      <c r="D35" s="259"/>
      <c r="E35" s="260"/>
      <c r="F35" s="260"/>
      <c r="G35" s="260"/>
      <c r="H35" s="260"/>
      <c r="I35" s="262"/>
    </row>
    <row r="36" spans="1:9" ht="21" x14ac:dyDescent="0.2">
      <c r="A36" s="257" t="str">
        <f>IF(C36&lt;&gt;"",1+MAX($A$5:A35),"")</f>
        <v/>
      </c>
      <c r="B36" s="261"/>
      <c r="C36" s="268"/>
      <c r="D36" s="259"/>
      <c r="E36" s="260"/>
      <c r="F36" s="260"/>
      <c r="G36" s="260"/>
      <c r="H36" s="260"/>
      <c r="I36" s="262"/>
    </row>
    <row r="37" spans="1:9" ht="21" x14ac:dyDescent="0.2">
      <c r="A37" s="257">
        <f>IF(C37&lt;&gt;"",1+MAX($A$5:A36),"")</f>
        <v>13</v>
      </c>
      <c r="B37" s="261" t="s">
        <v>224</v>
      </c>
      <c r="C37" s="267">
        <v>2</v>
      </c>
      <c r="D37" s="259" t="s">
        <v>20</v>
      </c>
      <c r="E37" s="395">
        <v>0</v>
      </c>
      <c r="F37" s="395">
        <v>0</v>
      </c>
      <c r="G37" s="265">
        <f>E37*C37</f>
        <v>0</v>
      </c>
      <c r="H37" s="265">
        <f>F37*C37</f>
        <v>0</v>
      </c>
      <c r="I37" s="262">
        <f t="shared" ref="I37" si="6">H37+G37</f>
        <v>0</v>
      </c>
    </row>
    <row r="38" spans="1:9" ht="21" x14ac:dyDescent="0.2">
      <c r="A38" s="257" t="str">
        <f>IF(C38&lt;&gt;"",1+MAX($A$5:A37),"")</f>
        <v/>
      </c>
      <c r="B38" s="286"/>
      <c r="C38" s="267"/>
      <c r="D38" s="259"/>
      <c r="E38" s="260"/>
      <c r="F38" s="260"/>
      <c r="G38" s="260"/>
      <c r="H38" s="260"/>
      <c r="I38" s="262"/>
    </row>
    <row r="39" spans="1:9" ht="21" x14ac:dyDescent="0.2">
      <c r="A39" s="257" t="str">
        <f>IF(C39&lt;&gt;"",1+MAX($A$5:A38),"")</f>
        <v/>
      </c>
      <c r="B39" s="258" t="s">
        <v>222</v>
      </c>
      <c r="C39" s="393"/>
      <c r="D39" s="259"/>
      <c r="E39" s="260"/>
      <c r="F39" s="260"/>
      <c r="G39" s="260"/>
      <c r="H39" s="260"/>
      <c r="I39" s="262"/>
    </row>
    <row r="40" spans="1:9" ht="21" x14ac:dyDescent="0.2">
      <c r="A40" s="257" t="str">
        <f>IF(C40&lt;&gt;"",1+MAX($A$5:A39),"")</f>
        <v/>
      </c>
      <c r="B40" s="261"/>
      <c r="C40" s="393"/>
      <c r="D40" s="259"/>
      <c r="E40" s="260"/>
      <c r="F40" s="260"/>
      <c r="G40" s="260"/>
      <c r="H40" s="260"/>
      <c r="I40" s="262"/>
    </row>
    <row r="41" spans="1:9" ht="21" x14ac:dyDescent="0.2">
      <c r="A41" s="257">
        <f>IF(C41&lt;&gt;"",1+MAX($A$5:A40),"")</f>
        <v>14</v>
      </c>
      <c r="B41" s="394" t="s">
        <v>223</v>
      </c>
      <c r="C41" s="267">
        <v>26</v>
      </c>
      <c r="D41" s="259" t="s">
        <v>20</v>
      </c>
      <c r="E41" s="395">
        <v>0</v>
      </c>
      <c r="F41" s="395">
        <v>0</v>
      </c>
      <c r="G41" s="265">
        <f>E41*C41</f>
        <v>0</v>
      </c>
      <c r="H41" s="265">
        <f>F41*C41</f>
        <v>0</v>
      </c>
      <c r="I41" s="262">
        <f>H41+G41</f>
        <v>0</v>
      </c>
    </row>
    <row r="42" spans="1:9" ht="21" x14ac:dyDescent="0.2">
      <c r="A42" s="257" t="str">
        <f>IF(C42&lt;&gt;"",1+MAX($A$5:A41),"")</f>
        <v/>
      </c>
      <c r="B42" s="261"/>
      <c r="C42" s="267"/>
      <c r="D42" s="259"/>
      <c r="E42" s="260"/>
      <c r="F42" s="260"/>
      <c r="G42" s="260"/>
      <c r="H42" s="260"/>
      <c r="I42" s="262"/>
    </row>
    <row r="43" spans="1:9" ht="21" x14ac:dyDescent="0.2">
      <c r="A43" s="257">
        <f>IF(C43&lt;&gt;"",1+MAX($A$5:A42),"")</f>
        <v>15</v>
      </c>
      <c r="B43" s="258" t="s">
        <v>108</v>
      </c>
      <c r="C43" s="267">
        <v>1</v>
      </c>
      <c r="D43" s="259" t="s">
        <v>27</v>
      </c>
      <c r="E43" s="260"/>
      <c r="F43" s="396">
        <v>2000</v>
      </c>
      <c r="G43" s="265">
        <f>E43*C43</f>
        <v>0</v>
      </c>
      <c r="H43" s="265">
        <f>F43*C43</f>
        <v>2000</v>
      </c>
      <c r="I43" s="262">
        <f>H43+G43</f>
        <v>2000</v>
      </c>
    </row>
    <row r="44" spans="1:9" ht="21" x14ac:dyDescent="0.2">
      <c r="A44" s="257" t="str">
        <f>IF(C44&lt;&gt;"",1+MAX($A$5:A43),"")</f>
        <v/>
      </c>
      <c r="B44" s="261"/>
      <c r="C44" s="287"/>
      <c r="D44" s="259"/>
      <c r="E44" s="260"/>
      <c r="F44" s="260"/>
      <c r="G44" s="260"/>
      <c r="H44" s="260"/>
      <c r="I44" s="262"/>
    </row>
    <row r="45" spans="1:9" ht="42" x14ac:dyDescent="0.2">
      <c r="A45" s="257" t="str">
        <f>IF(C45&lt;&gt;"",1+MAX($A$5:A44),"")</f>
        <v/>
      </c>
      <c r="B45" s="288" t="s">
        <v>109</v>
      </c>
      <c r="C45" s="287"/>
      <c r="D45" s="259"/>
      <c r="E45" s="260"/>
      <c r="F45" s="260"/>
      <c r="G45" s="265"/>
      <c r="H45" s="265"/>
      <c r="I45" s="262"/>
    </row>
    <row r="46" spans="1:9" ht="21" x14ac:dyDescent="0.2">
      <c r="A46" s="257" t="str">
        <f>IF(C46&lt;&gt;"",1+MAX($A$5:A45),"")</f>
        <v/>
      </c>
      <c r="B46" s="261"/>
      <c r="C46" s="287"/>
      <c r="D46" s="259"/>
      <c r="E46" s="260"/>
      <c r="F46" s="260"/>
      <c r="G46" s="289" t="s">
        <v>110</v>
      </c>
      <c r="H46" s="289" t="s">
        <v>111</v>
      </c>
      <c r="I46" s="262"/>
    </row>
    <row r="47" spans="1:9" ht="21.75" thickBot="1" x14ac:dyDescent="0.25">
      <c r="A47" s="257" t="str">
        <f>IF(C47&lt;&gt;"",1+MAX($A$5:A46),"")</f>
        <v/>
      </c>
      <c r="B47" s="261"/>
      <c r="C47" s="287"/>
      <c r="D47" s="259"/>
      <c r="E47" s="260"/>
      <c r="F47" s="272"/>
      <c r="G47" s="290">
        <f>SUM(G5:G45)</f>
        <v>0</v>
      </c>
      <c r="H47" s="291">
        <f>SUM(H5:H45)</f>
        <v>2000</v>
      </c>
      <c r="I47" s="262"/>
    </row>
    <row r="48" spans="1:9" ht="21.75" thickBot="1" x14ac:dyDescent="0.25">
      <c r="A48" s="257" t="str">
        <f>IF(C48&lt;&gt;"",1+MAX($A$5:A47),"")</f>
        <v/>
      </c>
      <c r="B48" s="269"/>
      <c r="C48" s="292"/>
      <c r="D48" s="271"/>
      <c r="E48" s="293"/>
      <c r="F48" s="294" t="s">
        <v>112</v>
      </c>
      <c r="G48" s="311">
        <v>6.6250000000000003E-2</v>
      </c>
      <c r="H48" s="295">
        <f>G48*H47</f>
        <v>132.5</v>
      </c>
      <c r="I48" s="266"/>
    </row>
    <row r="49" spans="1:9" ht="21.75" thickBot="1" x14ac:dyDescent="0.25">
      <c r="A49" s="296"/>
      <c r="B49" s="297"/>
      <c r="C49" s="298"/>
      <c r="D49" s="299"/>
      <c r="E49" s="300"/>
      <c r="F49" s="301"/>
      <c r="G49" s="302"/>
      <c r="H49" s="303">
        <f>SUM(H47:H48)</f>
        <v>2132.5</v>
      </c>
      <c r="I49" s="304"/>
    </row>
  </sheetData>
  <pageMargins left="0.25" right="0.25" top="0.75" bottom="0.75" header="0.3" footer="0.3"/>
  <pageSetup scale="72" fitToHeight="0"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i = " h t t p : / / w w w . w 3 . o r g / 2 0 0 1 / X M L S c h e m a - i n s t a n c e "   x m l n s : x s d = " h t t p : / / w w w . w 3 . o r g / 2 0 0 1 / X M L S c h e m a " > < T o k e n s / > < / S w i f t T o k e n s > 
</file>

<file path=customXml/itemProps1.xml><?xml version="1.0" encoding="utf-8"?>
<ds:datastoreItem xmlns:ds="http://schemas.openxmlformats.org/officeDocument/2006/customXml" ds:itemID="{6144D6DC-9B58-4AA0-923E-518B59E0955B}">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SUMMARY</vt:lpstr>
      <vt:lpstr>ESTIMATE</vt:lpstr>
      <vt:lpstr>LUMBER</vt:lpstr>
      <vt:lpstr>ESTIMATE!Print_Area</vt:lpstr>
      <vt:lpstr>LUMBER!Print_Area</vt:lpstr>
      <vt:lpstr>SUMMARY!Print_Area</vt:lpstr>
      <vt:lpstr>ESTIMATE!Print_Titles</vt:lpstr>
      <vt:lpstr>LUMBER!Print_Titles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2013-07-08T09:36:48Z</dcterms:created>
  <dcterms:modified xsi:type="dcterms:W3CDTF">2023-12-28T13:51:11Z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y fmtid="{D5CDD505-2E9C-101B-9397-08002B2CF9AE}" pid="3" name="PlanSwiftJobName">
    <vt:lpwstr/>
  </property>
  <property fmtid="{D5CDD505-2E9C-101B-9397-08002B2CF9AE}" pid="4" name="PlanSwiftJobGuid">
    <vt:lpwstr/>
  </property>
  <property fmtid="{D5CDD505-2E9C-101B-9397-08002B2CF9AE}" pid="5" name="LinkedDataId">
    <vt:lpwstr>{6144D6DC-9B58-4AA0-923E-518B59E0955B}</vt:lpwstr>
  </property>
</Properties>
</file>